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85" windowHeight="5730" tabRatio="616" activeTab="7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_123Graph_A" hidden="1">'[1]table ii.6'!$D$6:$D$70</definedName>
    <definedName name="__123Graph_B" hidden="1">'[1]table ii.6'!$E$6:$E$70</definedName>
    <definedName name="__123Graph_C" hidden="1">'[1]table ii.6'!$F$6:$F$70</definedName>
    <definedName name="__123Graph_D" hidden="1">'[1]table ii.6'!$G$6:$G$70</definedName>
    <definedName name="__123Graph_E" hidden="1">'[1]table ii.6'!$H$6:$H$70</definedName>
    <definedName name="__123Graph_F" hidden="1">'[1]table ii.6'!$I$6:$I$70</definedName>
    <definedName name="_xlnm.Print_Area" localSheetId="0">'Coverpage'!$A$2:$A$20</definedName>
    <definedName name="_xlnm.Print_Area" localSheetId="2">'S2'!$A$1:$L$47</definedName>
    <definedName name="_xlnm.Print_Area" localSheetId="3">'S3'!$A$1:$C$82</definedName>
    <definedName name="_xlnm.Print_Area" localSheetId="4">'S4'!$A$1:$K$75</definedName>
    <definedName name="_xlnm.Print_Area" localSheetId="5">'S5'!$B$2:$Q$21</definedName>
    <definedName name="_xlnm.Print_Area" localSheetId="6">'S6'!$A$1:$O$71</definedName>
    <definedName name="_xlnm.Print_Area" localSheetId="7">'S7'!$B$77:$F$101</definedName>
    <definedName name="Z_1119964D_FB32_11D4_9C51_0090277BCB1A_.wvu.Cols" localSheetId="5" hidden="1">'S5'!$B:$B</definedName>
    <definedName name="Z_1119964D_FB32_11D4_9C51_0090277BCB1A_.wvu.PrintArea" localSheetId="2" hidden="1">'S2'!$A$1:$L$48</definedName>
    <definedName name="Z_1119964D_FB32_11D4_9C51_0090277BCB1A_.wvu.PrintArea" localSheetId="3" hidden="1">'S3'!$A$2:$A$82</definedName>
    <definedName name="Z_1119964D_FB32_11D4_9C51_0090277BCB1A_.wvu.PrintArea" localSheetId="4" hidden="1">'S4'!$A$1:$K$75</definedName>
    <definedName name="Z_1119964D_FB32_11D4_9C51_0090277BCB1A_.wvu.PrintArea" localSheetId="5" hidden="1">'S5'!$B$2:$B$21</definedName>
    <definedName name="Z_1119964D_FB32_11D4_9C51_0090277BCB1A_.wvu.PrintArea" localSheetId="6" hidden="1">'S6'!$A$1:$J$60</definedName>
    <definedName name="Z_4BE07961_847F_11D4_A83A_00D0B7747A8F_.wvu.PrintArea" localSheetId="2" hidden="1">'S2'!$A$1:$L$48</definedName>
    <definedName name="Z_4BE07961_847F_11D4_A83A_00D0B7747A8F_.wvu.PrintArea" localSheetId="3" hidden="1">'S3'!$A$2:$A$82</definedName>
    <definedName name="Z_4BE07961_847F_11D4_A83A_00D0B7747A8F_.wvu.PrintArea" localSheetId="4" hidden="1">'S4'!$A$1:$K$75</definedName>
    <definedName name="Z_4BE07961_847F_11D4_A83A_00D0B7747A8F_.wvu.PrintArea" localSheetId="6" hidden="1">'S6'!$A$1:$J$60</definedName>
    <definedName name="Z_5050E6E2_8401_11D4_81A4_00608C91AED9_.wvu.Cols" localSheetId="5" hidden="1">'S5'!$B:$B</definedName>
    <definedName name="Z_5050E6E2_8401_11D4_81A4_00608C91AED9_.wvu.PrintArea" localSheetId="2" hidden="1">'S2'!$A$1:$L$48</definedName>
    <definedName name="Z_5050E6E2_8401_11D4_81A4_00608C91AED9_.wvu.PrintArea" localSheetId="3" hidden="1">'S3'!$A$2:$A$82</definedName>
    <definedName name="Z_5050E6E2_8401_11D4_81A4_00608C91AED9_.wvu.PrintArea" localSheetId="4" hidden="1">'S4'!$A$1:$K$75</definedName>
    <definedName name="Z_5050E6E2_8401_11D4_81A4_00608C91AED9_.wvu.PrintArea" localSheetId="5" hidden="1">'S5'!$B$2:$B$22</definedName>
    <definedName name="Z_5050E6E2_8401_11D4_81A4_00608C91AED9_.wvu.PrintArea" localSheetId="6" hidden="1">'S6'!$A$1:$I$60</definedName>
  </definedNames>
  <calcPr fullCalcOnLoad="1"/>
</workbook>
</file>

<file path=xl/sharedStrings.xml><?xml version="1.0" encoding="utf-8"?>
<sst xmlns="http://schemas.openxmlformats.org/spreadsheetml/2006/main" count="228" uniqueCount="168">
  <si>
    <t>Trade credit and advances</t>
  </si>
  <si>
    <t>Net Foreign Assets</t>
  </si>
  <si>
    <t>Money Market</t>
  </si>
  <si>
    <t>Bank Rate [%]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</si>
  <si>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</si>
  <si>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</si>
  <si>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</si>
  <si>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</si>
  <si>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</si>
  <si>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</si>
  <si>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</si>
  <si>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</si>
  <si>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</si>
  <si>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</si>
  <si>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</si>
  <si>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</si>
  <si>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</si>
  <si>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</si>
  <si>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</si>
  <si>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</si>
  <si>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</si>
  <si>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</si>
  <si>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</si>
  <si>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</si>
  <si>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</si>
  <si>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</si>
  <si>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</si>
  <si>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</si>
  <si>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</si>
  <si>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</si>
  <si>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International reserves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</si>
  <si>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</si>
  <si>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</si>
  <si>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</si>
  <si>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</si>
  <si>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</si>
  <si>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</si>
  <si>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Spanish peseta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</si>
  <si>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</si>
  <si>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</si>
  <si>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</si>
  <si>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</si>
  <si>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</si>
  <si>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</si>
  <si>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</si>
  <si>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</si>
  <si>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One Month</t>
  </si>
  <si>
    <t>Other Items Net</t>
  </si>
  <si>
    <t>FINANCIAL INDICATORS</t>
  </si>
  <si>
    <t>BANK OF NAMIBIA</t>
  </si>
  <si>
    <t>RESEARCH DEPARTMENT</t>
  </si>
  <si>
    <t>Statistical Release of Selected Data</t>
  </si>
  <si>
    <t>Claims on other sectors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</si>
  <si>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</si>
  <si>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</si>
  <si>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</si>
  <si>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</si>
  <si>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</si>
  <si>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</si>
  <si>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Other nonfinancial corporations/Businesses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</si>
  <si>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</si>
  <si>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</si>
  <si>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</si>
  <si>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</si>
  <si>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</si>
  <si>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</si>
  <si>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</si>
  <si>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</si>
  <si>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</si>
  <si>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</si>
  <si>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</si>
  <si>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</si>
  <si>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Other Depository Corporations (N$ Million)</t>
  </si>
  <si>
    <t>Foreign currency</t>
  </si>
  <si>
    <t>Loans</t>
  </si>
  <si>
    <t>Others</t>
  </si>
  <si>
    <t>Other non financial corporations</t>
  </si>
  <si>
    <t>Other Assets</t>
  </si>
  <si>
    <t>Non resident sector</t>
  </si>
  <si>
    <t>Other</t>
  </si>
  <si>
    <t>Resident sector</t>
  </si>
  <si>
    <t>Deposits included in M2</t>
  </si>
  <si>
    <t>Transferable</t>
  </si>
  <si>
    <t>Shares and Equity</t>
  </si>
  <si>
    <t>Domestic Claims</t>
  </si>
  <si>
    <t>Claims on other Sectors</t>
  </si>
  <si>
    <t>Broad Money Supply</t>
  </si>
  <si>
    <t>Transferable Deposits</t>
  </si>
  <si>
    <t>Other Deposits</t>
  </si>
  <si>
    <t>Other Liabilities</t>
  </si>
  <si>
    <t>Check</t>
  </si>
  <si>
    <t>Other resident sectors/Individuals</t>
  </si>
  <si>
    <t>Depository Corporations Survey (N$ Million)</t>
  </si>
  <si>
    <t>Money and Banking Statistics</t>
  </si>
  <si>
    <t>Change over</t>
  </si>
  <si>
    <t>Central government</t>
  </si>
  <si>
    <t>Liabilities to central government</t>
  </si>
  <si>
    <t>Central bank</t>
  </si>
  <si>
    <t>State and local governments</t>
  </si>
  <si>
    <t>Financial Derivatives</t>
  </si>
  <si>
    <t>Net Claims on Central Government</t>
  </si>
  <si>
    <t>Central Bank (N$ Million)</t>
  </si>
  <si>
    <t xml:space="preserve">   Other financial corporations</t>
  </si>
  <si>
    <t xml:space="preserve">   State and local government</t>
  </si>
  <si>
    <t xml:space="preserve">   Public nonfinancial corporations</t>
  </si>
  <si>
    <t xml:space="preserve">   Other nonfinancial corporations</t>
  </si>
  <si>
    <t xml:space="preserve">   Other resident sectors</t>
  </si>
  <si>
    <t>*Domestic Claims = Domestic Credit</t>
  </si>
  <si>
    <t>Public nonfinancial corporations</t>
  </si>
  <si>
    <t>Consumer Price Inflation [Percentage Change]*</t>
  </si>
  <si>
    <t>Primary auction</t>
  </si>
  <si>
    <t xml:space="preserve">% Change </t>
  </si>
  <si>
    <t xml:space="preserve">  % Change</t>
  </si>
  <si>
    <t xml:space="preserve">  One Month</t>
  </si>
  <si>
    <t xml:space="preserve">         Foreign exchange reserves (NAD millions)</t>
  </si>
  <si>
    <t>Determinants of Money Supply (N$ Million)</t>
  </si>
  <si>
    <t>Components of Money Supply (N$ Million)</t>
  </si>
  <si>
    <t>Claims on the *Other Sectors  by the Other Depository Corporations (N$ Million)</t>
  </si>
  <si>
    <t>Total Claims on the Private Sector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</si>
  <si>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</si>
  <si>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</si>
  <si>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</si>
  <si>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</si>
  <si>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</si>
  <si>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</si>
  <si>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</si>
  <si>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</si>
  <si>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</si>
  <si>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</si>
  <si>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</si>
  <si>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Securities other than shars</t>
  </si>
  <si>
    <t>Securities othen than shares included in M2</t>
  </si>
  <si>
    <t>Securities othen than shares excluded from M2</t>
  </si>
  <si>
    <t>Liabilities to Central Government</t>
  </si>
  <si>
    <t>Liabilities to Central Bank</t>
  </si>
  <si>
    <t>Other liabilities</t>
  </si>
  <si>
    <t>Consolidation Adjustment</t>
  </si>
  <si>
    <t>Net Claims on the Central Government</t>
  </si>
  <si>
    <t>Other Financial Corporations</t>
  </si>
  <si>
    <t>State and Local Government</t>
  </si>
  <si>
    <t>Public Financial Corporations</t>
  </si>
  <si>
    <t>Other Non-Financial Corporations</t>
  </si>
  <si>
    <t>Other Resident Sectors</t>
  </si>
  <si>
    <t>Other depository corporations</t>
  </si>
  <si>
    <t>Liabilities to residents</t>
  </si>
  <si>
    <t>*Other Sector = Private Sector</t>
  </si>
  <si>
    <t>Liabilities to non-residents</t>
  </si>
  <si>
    <t xml:space="preserve">    </t>
  </si>
  <si>
    <t>Lending Rate (monthly weighted avg) [%]**</t>
  </si>
  <si>
    <t>** Average Lending Rate includes both Interbank and intragroup rates</t>
  </si>
  <si>
    <t xml:space="preserve">       International Reserves** and Exchange rates</t>
  </si>
  <si>
    <t xml:space="preserve">     </t>
  </si>
  <si>
    <t>**International Reserves of the Bank of Namibia</t>
  </si>
  <si>
    <t xml:space="preserve">  Selected Interest Rates</t>
  </si>
  <si>
    <t xml:space="preserve">    Money Supply Month-on-Month  Percentage Changes</t>
  </si>
  <si>
    <t xml:space="preserve">   Source: NSX</t>
  </si>
  <si>
    <t xml:space="preserve">   Source: BON</t>
  </si>
  <si>
    <t xml:space="preserve">                  NSX Indices</t>
  </si>
  <si>
    <t>Source: CBS &amp; STATSSA</t>
  </si>
  <si>
    <t xml:space="preserve">                          Foreign Exchange Reserves</t>
  </si>
  <si>
    <t xml:space="preserve">                           U.S Dollar/Namibia Dollar Exchange Rate</t>
  </si>
  <si>
    <t xml:space="preserve"> Other Sector Claims = Private Sector Credit</t>
  </si>
  <si>
    <t>Securities other than shares (included in Broad Money)</t>
  </si>
  <si>
    <t>Namibia's Inflation vs South Africa's CPIX</t>
  </si>
  <si>
    <t>Domestic Claims and Other Sector Claims (Month-on-Month Percentage Changes)</t>
  </si>
  <si>
    <t>Currency Outside Depository Corporations</t>
  </si>
  <si>
    <t xml:space="preserve">Deposits excluded from M2 </t>
  </si>
  <si>
    <t>*  The consumer price inflation is based on the NCPI (nation wide CPI)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</si>
</sst>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$&quot;\ #,##0;&quot;N$&quot;\ \-#,##0"/>
    <numFmt numFmtId="165" formatCode="&quot;N$&quot;\ #,##0;[Red]&quot;N$&quot;\ \-#,##0"/>
    <numFmt numFmtId="166" formatCode="&quot;N$&quot;\ #,##0.00;&quot;N$&quot;\ \-#,##0.00"/>
    <numFmt numFmtId="167" formatCode="&quot;N$&quot;\ #,##0.00;[Red]&quot;N$&quot;\ \-#,##0.00"/>
    <numFmt numFmtId="168" formatCode="_ &quot;N$&quot;\ * #,##0_ ;_ &quot;N$&quot;\ * \-#,##0_ ;_ &quot;N$&quot;\ * &quot;-&quot;_ ;_ @_ "/>
    <numFmt numFmtId="169" formatCode="_ * #,##0_ ;_ * \-#,##0_ ;_ * &quot;-&quot;_ ;_ @_ "/>
    <numFmt numFmtId="170" formatCode="_ &quot;N$&quot;\ * #,##0.00_ ;_ &quot;N$&quot;\ * \-#,##0.00_ ;_ &quot;N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#,##0.0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00"/>
    <numFmt numFmtId="193" formatCode="[$€-2]\ #,##0.00_);[Red]\([$€-2]\ #,##0.00\)"/>
    <numFmt numFmtId="194" formatCode="[$-409]dddd\,\ mmmm\ dd\,\ yyyy"/>
    <numFmt numFmtId="195" formatCode="[$-409]mmm\-yy;@"/>
    <numFmt numFmtId="196" formatCode="[$-409]mmmm\-yy;@"/>
    <numFmt numFmtId="197" formatCode="[$-409]h:mm:ss\ AM/PM"/>
    <numFmt numFmtId="198" formatCode="[$-409]mmmm\ d\,\ yyyy;@"/>
    <numFmt numFmtId="199" formatCode="[$-409]d\-mmm\-yy;@"/>
    <numFmt numFmtId="200" formatCode="[$-409]mmmmm\-yy;@"/>
    <numFmt numFmtId="201" formatCode="[$-409]d\-mmm;@"/>
    <numFmt numFmtId="202" formatCode="#,##0.0_);\(#,##0.0\)"/>
    <numFmt numFmtId="203" formatCode="mmm\-yyyy"/>
    <numFmt numFmtId="204" formatCode="0.00_);\(0.00\)"/>
    <numFmt numFmtId="205" formatCode="0.000_);\(0.000\)"/>
    <numFmt numFmtId="206" formatCode="[$-1C09]dd\ mmmm\ yyyy"/>
    <numFmt numFmtId="207" formatCode="[$-1C09]dd\ mmmm\ yyyy;@"/>
    <numFmt numFmtId="208" formatCode="0.00_)"/>
    <numFmt numFmtId="209" formatCode="0.0_)"/>
    <numFmt numFmtId="210" formatCode="0_)"/>
    <numFmt numFmtId="211" formatCode="[$-409]dd\-mmm\-yy;@"/>
    <numFmt numFmtId="212" formatCode="m/d/yy;@"/>
  </numFmts>
  <fonts count="86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6"/>
      <color indexed="9"/>
      <name val="Arial"/>
      <family val="2"/>
    </font>
    <font>
      <sz val="10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sz val="18"/>
      <name val="Arial"/>
      <family val="0"/>
    </font>
    <font>
      <i/>
      <sz val="12"/>
      <name val="Arial"/>
      <family val="0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b/>
      <sz val="12"/>
      <name val="Arial"/>
      <family val="2"/>
    </font>
    <font>
      <b/>
      <sz val="12"/>
      <color indexed="61"/>
      <name val="Univers"/>
      <family val="0"/>
    </font>
    <font>
      <sz val="8"/>
      <color indexed="16"/>
      <name val="Arial"/>
      <family val="2"/>
    </font>
    <font>
      <b/>
      <i/>
      <sz val="22"/>
      <name val="Comic Sans MS"/>
      <family val="4"/>
    </font>
    <font>
      <sz val="10.8"/>
      <color indexed="16"/>
      <name val="Arial"/>
      <family val="0"/>
    </font>
    <font>
      <sz val="8"/>
      <color indexed="25"/>
      <name val="Arial"/>
      <family val="0"/>
    </font>
    <font>
      <sz val="10.75"/>
      <color indexed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75"/>
      <color indexed="16"/>
      <name val="Arial"/>
      <family val="0"/>
    </font>
    <font>
      <sz val="8"/>
      <color indexed="37"/>
      <name val="Univers"/>
      <family val="0"/>
    </font>
    <font>
      <sz val="10"/>
      <name val="Arial"/>
      <family val="2"/>
    </font>
    <font>
      <sz val="11"/>
      <color indexed="8"/>
      <name val="Arial"/>
      <family val="0"/>
    </font>
    <font>
      <b/>
      <sz val="11"/>
      <name val="Arial"/>
      <family val="2"/>
    </font>
    <font>
      <sz val="17.75"/>
      <name val="Arial"/>
      <family val="0"/>
    </font>
    <font>
      <b/>
      <sz val="9.25"/>
      <color indexed="37"/>
      <name val="Arial"/>
      <family val="2"/>
    </font>
    <font>
      <b/>
      <sz val="9.5"/>
      <name val="Arial"/>
      <family val="2"/>
    </font>
    <font>
      <sz val="19.25"/>
      <name val="Arial"/>
      <family val="0"/>
    </font>
    <font>
      <b/>
      <sz val="10"/>
      <color indexed="37"/>
      <name val="Arial"/>
      <family val="2"/>
    </font>
    <font>
      <sz val="9.5"/>
      <name val="Arial"/>
      <family val="2"/>
    </font>
    <font>
      <sz val="17.5"/>
      <name val="Arial"/>
      <family val="0"/>
    </font>
    <font>
      <b/>
      <sz val="9.25"/>
      <name val="Arial"/>
      <family val="2"/>
    </font>
    <font>
      <b/>
      <sz val="9.5"/>
      <color indexed="37"/>
      <name val="Arial"/>
      <family val="2"/>
    </font>
    <font>
      <b/>
      <sz val="12"/>
      <color indexed="37"/>
      <name val="Arial"/>
      <family val="2"/>
    </font>
    <font>
      <b/>
      <sz val="8.75"/>
      <name val="Arial"/>
      <family val="2"/>
    </font>
    <font>
      <b/>
      <sz val="8"/>
      <color indexed="37"/>
      <name val="Arial"/>
      <family val="2"/>
    </font>
    <font>
      <b/>
      <sz val="8"/>
      <name val="Arial"/>
      <family val="2"/>
    </font>
    <font>
      <b/>
      <sz val="11"/>
      <color indexed="3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fgColor indexed="26"/>
        <bgColor indexed="26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52" fillId="3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3" fontId="32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16" fillId="0" borderId="0" applyProtection="0">
      <alignment/>
    </xf>
    <xf numFmtId="3" fontId="35" fillId="0" borderId="0" applyProtection="0">
      <alignment/>
    </xf>
    <xf numFmtId="3" fontId="15" fillId="0" borderId="0" applyProtection="0">
      <alignment/>
    </xf>
    <xf numFmtId="3" fontId="36" fillId="0" borderId="0" applyProtection="0">
      <alignment/>
    </xf>
    <xf numFmtId="0" fontId="6" fillId="0" borderId="0" applyNumberFormat="0" applyFill="0" applyBorder="0" applyAlignment="0" applyProtection="0"/>
    <xf numFmtId="0" fontId="56" fillId="4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7" borderId="1" applyNumberFormat="0" applyAlignment="0" applyProtection="0"/>
    <xf numFmtId="0" fontId="61" fillId="0" borderId="6" applyNumberFormat="0" applyFill="0" applyAlignment="0" applyProtection="0"/>
    <xf numFmtId="0" fontId="62" fillId="2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23" borderId="7" applyNumberFormat="0" applyFont="0" applyAlignment="0" applyProtection="0"/>
    <xf numFmtId="0" fontId="63" fillId="20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24" borderId="10" xfId="0" applyFont="1" applyFill="1" applyBorder="1" applyAlignment="1">
      <alignment/>
    </xf>
    <xf numFmtId="0" fontId="10" fillId="25" borderId="0" xfId="0" applyFont="1" applyFill="1" applyBorder="1" applyAlignment="1">
      <alignment horizontal="center"/>
    </xf>
    <xf numFmtId="0" fontId="11" fillId="25" borderId="0" xfId="0" applyFont="1" applyFill="1" applyBorder="1" applyAlignment="1">
      <alignment/>
    </xf>
    <xf numFmtId="0" fontId="8" fillId="24" borderId="11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2" fontId="9" fillId="25" borderId="0" xfId="0" applyNumberFormat="1" applyFont="1" applyFill="1" applyBorder="1" applyAlignment="1">
      <alignment/>
    </xf>
    <xf numFmtId="0" fontId="7" fillId="24" borderId="11" xfId="0" applyFont="1" applyFill="1" applyBorder="1" applyAlignment="1">
      <alignment/>
    </xf>
    <xf numFmtId="0" fontId="12" fillId="24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178" fontId="11" fillId="0" borderId="0" xfId="0" applyNumberFormat="1" applyFont="1" applyAlignment="1">
      <alignment/>
    </xf>
    <xf numFmtId="0" fontId="8" fillId="24" borderId="12" xfId="0" applyFont="1" applyFill="1" applyBorder="1" applyAlignment="1">
      <alignment/>
    </xf>
    <xf numFmtId="17" fontId="13" fillId="24" borderId="13" xfId="0" applyNumberFormat="1" applyFont="1" applyFill="1" applyBorder="1" applyAlignment="1">
      <alignment/>
    </xf>
    <xf numFmtId="185" fontId="4" fillId="23" borderId="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85" fontId="13" fillId="24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23" borderId="0" xfId="0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85" fontId="9" fillId="25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96" fontId="24" fillId="0" borderId="0" xfId="0" applyNumberFormat="1" applyFont="1" applyAlignment="1">
      <alignment horizontal="center"/>
    </xf>
    <xf numFmtId="185" fontId="9" fillId="23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23" borderId="16" xfId="0" applyNumberFormat="1" applyFont="1" applyFill="1" applyBorder="1" applyAlignment="1">
      <alignment/>
    </xf>
    <xf numFmtId="2" fontId="9" fillId="23" borderId="15" xfId="0" applyNumberFormat="1" applyFont="1" applyFill="1" applyBorder="1" applyAlignment="1">
      <alignment/>
    </xf>
    <xf numFmtId="185" fontId="4" fillId="23" borderId="17" xfId="0" applyNumberFormat="1" applyFont="1" applyFill="1" applyBorder="1" applyAlignment="1">
      <alignment/>
    </xf>
    <xf numFmtId="0" fontId="4" fillId="23" borderId="17" xfId="0" applyFont="1" applyFill="1" applyBorder="1" applyAlignment="1">
      <alignment/>
    </xf>
    <xf numFmtId="185" fontId="15" fillId="0" borderId="0" xfId="0" applyNumberFormat="1" applyFont="1" applyBorder="1" applyAlignment="1">
      <alignment/>
    </xf>
    <xf numFmtId="185" fontId="15" fillId="23" borderId="17" xfId="0" applyNumberFormat="1" applyFont="1" applyFill="1" applyBorder="1" applyAlignment="1">
      <alignment/>
    </xf>
    <xf numFmtId="17" fontId="4" fillId="26" borderId="17" xfId="0" applyNumberFormat="1" applyFont="1" applyFill="1" applyBorder="1" applyAlignment="1">
      <alignment/>
    </xf>
    <xf numFmtId="0" fontId="4" fillId="26" borderId="17" xfId="0" applyFont="1" applyFill="1" applyBorder="1" applyAlignment="1">
      <alignment/>
    </xf>
    <xf numFmtId="0" fontId="13" fillId="24" borderId="18" xfId="0" applyFont="1" applyFill="1" applyBorder="1" applyAlignment="1">
      <alignment/>
    </xf>
    <xf numFmtId="0" fontId="13" fillId="24" borderId="19" xfId="0" applyFont="1" applyFill="1" applyBorder="1" applyAlignment="1">
      <alignment/>
    </xf>
    <xf numFmtId="0" fontId="26" fillId="23" borderId="0" xfId="0" applyFont="1" applyFill="1" applyBorder="1" applyAlignment="1">
      <alignment/>
    </xf>
    <xf numFmtId="185" fontId="26" fillId="23" borderId="0" xfId="0" applyNumberFormat="1" applyFont="1" applyFill="1" applyBorder="1" applyAlignment="1">
      <alignment/>
    </xf>
    <xf numFmtId="0" fontId="27" fillId="23" borderId="0" xfId="0" applyFont="1" applyFill="1" applyBorder="1" applyAlignment="1">
      <alignment horizontal="left" indent="1"/>
    </xf>
    <xf numFmtId="0" fontId="26" fillId="23" borderId="20" xfId="0" applyFont="1" applyFill="1" applyBorder="1" applyAlignment="1">
      <alignment/>
    </xf>
    <xf numFmtId="185" fontId="26" fillId="23" borderId="20" xfId="0" applyNumberFormat="1" applyFont="1" applyFill="1" applyBorder="1" applyAlignment="1">
      <alignment/>
    </xf>
    <xf numFmtId="0" fontId="15" fillId="0" borderId="21" xfId="0" applyFont="1" applyBorder="1" applyAlignment="1">
      <alignment/>
    </xf>
    <xf numFmtId="0" fontId="15" fillId="23" borderId="17" xfId="0" applyFont="1" applyFill="1" applyBorder="1" applyAlignment="1">
      <alignment/>
    </xf>
    <xf numFmtId="0" fontId="15" fillId="0" borderId="20" xfId="0" applyFont="1" applyBorder="1" applyAlignment="1">
      <alignment/>
    </xf>
    <xf numFmtId="0" fontId="26" fillId="23" borderId="0" xfId="0" applyFont="1" applyFill="1" applyBorder="1" applyAlignment="1">
      <alignment horizontal="left" indent="2"/>
    </xf>
    <xf numFmtId="0" fontId="4" fillId="23" borderId="0" xfId="0" applyFont="1" applyFill="1" applyBorder="1" applyAlignment="1">
      <alignment horizontal="left" indent="3"/>
    </xf>
    <xf numFmtId="0" fontId="4" fillId="23" borderId="0" xfId="0" applyFont="1" applyFill="1" applyBorder="1" applyAlignment="1">
      <alignment horizontal="left" indent="4"/>
    </xf>
    <xf numFmtId="0" fontId="4" fillId="0" borderId="0" xfId="0" applyFont="1" applyBorder="1" applyAlignment="1">
      <alignment/>
    </xf>
    <xf numFmtId="0" fontId="20" fillId="24" borderId="0" xfId="0" applyFont="1" applyFill="1" applyBorder="1" applyAlignment="1">
      <alignment horizontal="center"/>
    </xf>
    <xf numFmtId="0" fontId="13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13" fillId="24" borderId="22" xfId="0" applyFont="1" applyFill="1" applyBorder="1" applyAlignment="1">
      <alignment/>
    </xf>
    <xf numFmtId="17" fontId="20" fillId="24" borderId="22" xfId="0" applyNumberFormat="1" applyFont="1" applyFill="1" applyBorder="1" applyAlignment="1">
      <alignment/>
    </xf>
    <xf numFmtId="0" fontId="20" fillId="24" borderId="22" xfId="0" applyFont="1" applyFill="1" applyBorder="1" applyAlignment="1">
      <alignment/>
    </xf>
    <xf numFmtId="178" fontId="26" fillId="23" borderId="0" xfId="0" applyNumberFormat="1" applyFont="1" applyFill="1" applyBorder="1" applyAlignment="1">
      <alignment/>
    </xf>
    <xf numFmtId="185" fontId="27" fillId="23" borderId="0" xfId="0" applyNumberFormat="1" applyFont="1" applyFill="1" applyBorder="1" applyAlignment="1">
      <alignment horizontal="left" indent="1"/>
    </xf>
    <xf numFmtId="0" fontId="28" fillId="0" borderId="0" xfId="0" applyFont="1" applyFill="1" applyBorder="1" applyAlignment="1">
      <alignment/>
    </xf>
    <xf numFmtId="185" fontId="28" fillId="0" borderId="0" xfId="0" applyNumberFormat="1" applyFont="1" applyFill="1" applyBorder="1" applyAlignment="1">
      <alignment/>
    </xf>
    <xf numFmtId="178" fontId="28" fillId="0" borderId="0" xfId="0" applyNumberFormat="1" applyFont="1" applyFill="1" applyBorder="1" applyAlignment="1">
      <alignment/>
    </xf>
    <xf numFmtId="185" fontId="26" fillId="23" borderId="0" xfId="0" applyNumberFormat="1" applyFont="1" applyFill="1" applyBorder="1" applyAlignment="1">
      <alignment horizontal="left"/>
    </xf>
    <xf numFmtId="185" fontId="26" fillId="23" borderId="0" xfId="0" applyNumberFormat="1" applyFont="1" applyFill="1" applyBorder="1" applyAlignment="1">
      <alignment horizontal="left" indent="2"/>
    </xf>
    <xf numFmtId="185" fontId="4" fillId="23" borderId="0" xfId="0" applyNumberFormat="1" applyFont="1" applyFill="1" applyBorder="1" applyAlignment="1">
      <alignment horizontal="left" indent="2"/>
    </xf>
    <xf numFmtId="0" fontId="20" fillId="24" borderId="0" xfId="0" applyFont="1" applyFill="1" applyBorder="1" applyAlignment="1">
      <alignment/>
    </xf>
    <xf numFmtId="0" fontId="4" fillId="23" borderId="0" xfId="0" applyFont="1" applyFill="1" applyBorder="1" applyAlignment="1">
      <alignment horizontal="left" indent="1"/>
    </xf>
    <xf numFmtId="195" fontId="10" fillId="23" borderId="23" xfId="0" applyNumberFormat="1" applyFont="1" applyFill="1" applyBorder="1" applyAlignment="1">
      <alignment horizontal="center"/>
    </xf>
    <xf numFmtId="2" fontId="9" fillId="23" borderId="15" xfId="42" applyNumberFormat="1" applyFont="1" applyFill="1" applyBorder="1" applyAlignment="1">
      <alignment horizontal="right"/>
    </xf>
    <xf numFmtId="178" fontId="9" fillId="23" borderId="15" xfId="0" applyNumberFormat="1" applyFont="1" applyFill="1" applyBorder="1" applyAlignment="1">
      <alignment/>
    </xf>
    <xf numFmtId="202" fontId="0" fillId="0" borderId="0" xfId="0" applyNumberFormat="1" applyAlignment="1">
      <alignment/>
    </xf>
    <xf numFmtId="4" fontId="9" fillId="23" borderId="15" xfId="0" applyNumberFormat="1" applyFont="1" applyFill="1" applyBorder="1" applyAlignment="1">
      <alignment/>
    </xf>
    <xf numFmtId="4" fontId="9" fillId="23" borderId="15" xfId="0" applyNumberFormat="1" applyFont="1" applyFill="1" applyBorder="1" applyAlignment="1">
      <alignment horizontal="right"/>
    </xf>
    <xf numFmtId="2" fontId="9" fillId="23" borderId="15" xfId="0" applyNumberFormat="1" applyFont="1" applyFill="1" applyBorder="1" applyAlignment="1">
      <alignment horizontal="right"/>
    </xf>
    <xf numFmtId="2" fontId="11" fillId="0" borderId="0" xfId="0" applyNumberFormat="1" applyFont="1" applyAlignment="1">
      <alignment/>
    </xf>
    <xf numFmtId="183" fontId="11" fillId="0" borderId="0" xfId="0" applyNumberFormat="1" applyFont="1" applyAlignment="1">
      <alignment/>
    </xf>
    <xf numFmtId="185" fontId="0" fillId="0" borderId="0" xfId="0" applyNumberFormat="1" applyAlignment="1">
      <alignment/>
    </xf>
    <xf numFmtId="178" fontId="9" fillId="23" borderId="24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78" fontId="0" fillId="0" borderId="0" xfId="0" applyNumberFormat="1" applyAlignment="1">
      <alignment/>
    </xf>
    <xf numFmtId="185" fontId="26" fillId="25" borderId="0" xfId="0" applyNumberFormat="1" applyFont="1" applyFill="1" applyBorder="1" applyAlignment="1">
      <alignment/>
    </xf>
    <xf numFmtId="0" fontId="0" fillId="25" borderId="0" xfId="0" applyFill="1" applyAlignment="1">
      <alignment/>
    </xf>
    <xf numFmtId="46" fontId="30" fillId="24" borderId="25" xfId="0" applyNumberFormat="1" applyFont="1" applyFill="1" applyBorder="1" applyAlignment="1">
      <alignment/>
    </xf>
    <xf numFmtId="46" fontId="30" fillId="24" borderId="25" xfId="0" applyNumberFormat="1" applyFont="1" applyFill="1" applyBorder="1" applyAlignment="1">
      <alignment horizontal="left"/>
    </xf>
    <xf numFmtId="0" fontId="29" fillId="0" borderId="0" xfId="0" applyFont="1" applyAlignment="1">
      <alignment horizontal="left"/>
    </xf>
    <xf numFmtId="185" fontId="26" fillId="23" borderId="0" xfId="64" applyNumberFormat="1" applyFont="1" applyFill="1" applyBorder="1">
      <alignment/>
      <protection/>
    </xf>
    <xf numFmtId="185" fontId="4" fillId="23" borderId="0" xfId="64" applyNumberFormat="1" applyFont="1" applyFill="1" applyBorder="1">
      <alignment/>
      <protection/>
    </xf>
    <xf numFmtId="185" fontId="26" fillId="23" borderId="20" xfId="64" applyNumberFormat="1" applyFont="1" applyFill="1" applyBorder="1">
      <alignment/>
      <protection/>
    </xf>
    <xf numFmtId="185" fontId="26" fillId="23" borderId="0" xfId="64" applyNumberFormat="1" applyFont="1" applyFill="1" applyBorder="1" applyAlignment="1">
      <alignment horizontal="right"/>
      <protection/>
    </xf>
    <xf numFmtId="185" fontId="4" fillId="23" borderId="0" xfId="64" applyNumberFormat="1" applyFont="1" applyFill="1" applyBorder="1" applyAlignment="1">
      <alignment horizontal="right"/>
      <protection/>
    </xf>
    <xf numFmtId="185" fontId="26" fillId="23" borderId="20" xfId="64" applyNumberFormat="1" applyFont="1" applyFill="1" applyBorder="1" applyAlignment="1">
      <alignment horizontal="right"/>
      <protection/>
    </xf>
    <xf numFmtId="185" fontId="26" fillId="23" borderId="0" xfId="65" applyNumberFormat="1" applyFont="1" applyFill="1" applyBorder="1">
      <alignment/>
      <protection/>
    </xf>
    <xf numFmtId="185" fontId="4" fillId="23" borderId="0" xfId="65" applyNumberFormat="1" applyFont="1" applyFill="1" applyBorder="1">
      <alignment/>
      <protection/>
    </xf>
    <xf numFmtId="178" fontId="26" fillId="23" borderId="0" xfId="65" applyNumberFormat="1" applyFont="1" applyFill="1" applyBorder="1">
      <alignment/>
      <protection/>
    </xf>
    <xf numFmtId="178" fontId="4" fillId="23" borderId="0" xfId="65" applyNumberFormat="1" applyFont="1" applyFill="1" applyBorder="1">
      <alignment/>
      <protection/>
    </xf>
    <xf numFmtId="0" fontId="38" fillId="0" borderId="16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39" fillId="25" borderId="16" xfId="0" applyFont="1" applyFill="1" applyBorder="1" applyAlignment="1">
      <alignment/>
    </xf>
    <xf numFmtId="0" fontId="37" fillId="0" borderId="16" xfId="0" applyFont="1" applyBorder="1" applyAlignment="1">
      <alignment/>
    </xf>
    <xf numFmtId="0" fontId="37" fillId="0" borderId="26" xfId="0" applyFont="1" applyBorder="1" applyAlignment="1">
      <alignment/>
    </xf>
    <xf numFmtId="0" fontId="37" fillId="25" borderId="26" xfId="0" applyFont="1" applyFill="1" applyBorder="1" applyAlignment="1">
      <alignment/>
    </xf>
    <xf numFmtId="2" fontId="37" fillId="0" borderId="16" xfId="0" applyNumberFormat="1" applyFont="1" applyBorder="1" applyAlignment="1">
      <alignment/>
    </xf>
    <xf numFmtId="0" fontId="37" fillId="0" borderId="15" xfId="0" applyFont="1" applyBorder="1" applyAlignment="1">
      <alignment horizontal="center"/>
    </xf>
    <xf numFmtId="0" fontId="39" fillId="25" borderId="15" xfId="0" applyFont="1" applyFill="1" applyBorder="1" applyAlignment="1">
      <alignment/>
    </xf>
    <xf numFmtId="0" fontId="37" fillId="0" borderId="15" xfId="0" applyFont="1" applyBorder="1" applyAlignment="1">
      <alignment/>
    </xf>
    <xf numFmtId="0" fontId="37" fillId="0" borderId="27" xfId="0" applyFont="1" applyBorder="1" applyAlignment="1">
      <alignment/>
    </xf>
    <xf numFmtId="0" fontId="37" fillId="25" borderId="27" xfId="0" applyFont="1" applyFill="1" applyBorder="1" applyAlignment="1">
      <alignment/>
    </xf>
    <xf numFmtId="2" fontId="37" fillId="0" borderId="15" xfId="0" applyNumberFormat="1" applyFont="1" applyBorder="1" applyAlignment="1">
      <alignment/>
    </xf>
    <xf numFmtId="0" fontId="41" fillId="24" borderId="15" xfId="0" applyFont="1" applyFill="1" applyBorder="1" applyAlignment="1">
      <alignment horizontal="center"/>
    </xf>
    <xf numFmtId="0" fontId="39" fillId="23" borderId="15" xfId="0" applyFont="1" applyFill="1" applyBorder="1" applyAlignment="1">
      <alignment horizontal="center"/>
    </xf>
    <xf numFmtId="0" fontId="37" fillId="23" borderId="15" xfId="0" applyFont="1" applyFill="1" applyBorder="1" applyAlignment="1">
      <alignment horizontal="center"/>
    </xf>
    <xf numFmtId="0" fontId="39" fillId="23" borderId="15" xfId="0" applyFont="1" applyFill="1" applyBorder="1" applyAlignment="1">
      <alignment/>
    </xf>
    <xf numFmtId="0" fontId="39" fillId="23" borderId="27" xfId="0" applyFont="1" applyFill="1" applyBorder="1" applyAlignment="1">
      <alignment/>
    </xf>
    <xf numFmtId="0" fontId="37" fillId="23" borderId="27" xfId="0" applyFont="1" applyFill="1" applyBorder="1" applyAlignment="1">
      <alignment/>
    </xf>
    <xf numFmtId="0" fontId="37" fillId="23" borderId="15" xfId="0" applyFont="1" applyFill="1" applyBorder="1" applyAlignment="1">
      <alignment/>
    </xf>
    <xf numFmtId="17" fontId="40" fillId="23" borderId="15" xfId="0" applyNumberFormat="1" applyFont="1" applyFill="1" applyBorder="1" applyAlignment="1">
      <alignment horizontal="center"/>
    </xf>
    <xf numFmtId="185" fontId="39" fillId="23" borderId="15" xfId="0" applyNumberFormat="1" applyFont="1" applyFill="1" applyBorder="1" applyAlignment="1">
      <alignment horizontal="center"/>
    </xf>
    <xf numFmtId="178" fontId="39" fillId="23" borderId="15" xfId="0" applyNumberFormat="1" applyFont="1" applyFill="1" applyBorder="1" applyAlignment="1">
      <alignment/>
    </xf>
    <xf numFmtId="178" fontId="39" fillId="23" borderId="15" xfId="0" applyNumberFormat="1" applyFont="1" applyFill="1" applyBorder="1" applyAlignment="1">
      <alignment horizontal="right"/>
    </xf>
    <xf numFmtId="178" fontId="39" fillId="23" borderId="27" xfId="0" applyNumberFormat="1" applyFont="1" applyFill="1" applyBorder="1" applyAlignment="1">
      <alignment/>
    </xf>
    <xf numFmtId="178" fontId="39" fillId="23" borderId="27" xfId="0" applyNumberFormat="1" applyFont="1" applyFill="1" applyBorder="1" applyAlignment="1">
      <alignment horizontal="right"/>
    </xf>
    <xf numFmtId="178" fontId="39" fillId="23" borderId="15" xfId="0" applyNumberFormat="1" applyFont="1" applyFill="1" applyBorder="1" applyAlignment="1">
      <alignment/>
    </xf>
    <xf numFmtId="178" fontId="39" fillId="23" borderId="15" xfId="0" applyNumberFormat="1" applyFont="1" applyFill="1" applyBorder="1" applyAlignment="1">
      <alignment horizontal="center"/>
    </xf>
    <xf numFmtId="178" fontId="39" fillId="23" borderId="27" xfId="0" applyNumberFormat="1" applyFont="1" applyFill="1" applyBorder="1" applyAlignment="1">
      <alignment horizontal="center"/>
    </xf>
    <xf numFmtId="0" fontId="39" fillId="23" borderId="15" xfId="0" applyFont="1" applyFill="1" applyBorder="1" applyAlignment="1">
      <alignment horizontal="right"/>
    </xf>
    <xf numFmtId="182" fontId="39" fillId="23" borderId="15" xfId="0" applyNumberFormat="1" applyFont="1" applyFill="1" applyBorder="1" applyAlignment="1">
      <alignment/>
    </xf>
    <xf numFmtId="182" fontId="39" fillId="23" borderId="15" xfId="0" applyNumberFormat="1" applyFont="1" applyFill="1" applyBorder="1" applyAlignment="1">
      <alignment horizontal="center"/>
    </xf>
    <xf numFmtId="182" fontId="39" fillId="23" borderId="15" xfId="0" applyNumberFormat="1" applyFont="1" applyFill="1" applyBorder="1" applyAlignment="1">
      <alignment horizontal="right"/>
    </xf>
    <xf numFmtId="182" fontId="39" fillId="23" borderId="27" xfId="0" applyNumberFormat="1" applyFont="1" applyFill="1" applyBorder="1" applyAlignment="1">
      <alignment horizontal="right"/>
    </xf>
    <xf numFmtId="0" fontId="39" fillId="25" borderId="15" xfId="0" applyFont="1" applyFill="1" applyBorder="1" applyAlignment="1">
      <alignment horizontal="center"/>
    </xf>
    <xf numFmtId="0" fontId="41" fillId="25" borderId="15" xfId="0" applyFont="1" applyFill="1" applyBorder="1" applyAlignment="1">
      <alignment horizontal="center"/>
    </xf>
    <xf numFmtId="0" fontId="37" fillId="25" borderId="15" xfId="0" applyFont="1" applyFill="1" applyBorder="1" applyAlignment="1">
      <alignment horizontal="center"/>
    </xf>
    <xf numFmtId="0" fontId="37" fillId="25" borderId="15" xfId="0" applyFont="1" applyFill="1" applyBorder="1" applyAlignment="1">
      <alignment/>
    </xf>
    <xf numFmtId="0" fontId="42" fillId="0" borderId="15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1" fillId="25" borderId="24" xfId="0" applyFont="1" applyFill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9" fillId="25" borderId="24" xfId="0" applyFont="1" applyFill="1" applyBorder="1" applyAlignment="1">
      <alignment/>
    </xf>
    <xf numFmtId="0" fontId="37" fillId="0" borderId="24" xfId="0" applyFont="1" applyBorder="1" applyAlignment="1">
      <alignment/>
    </xf>
    <xf numFmtId="0" fontId="37" fillId="0" borderId="28" xfId="0" applyFont="1" applyBorder="1" applyAlignment="1">
      <alignment/>
    </xf>
    <xf numFmtId="0" fontId="37" fillId="25" borderId="28" xfId="0" applyFont="1" applyFill="1" applyBorder="1" applyAlignment="1">
      <alignment/>
    </xf>
    <xf numFmtId="2" fontId="37" fillId="0" borderId="24" xfId="0" applyNumberFormat="1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27" xfId="0" applyFont="1" applyBorder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185" fontId="26" fillId="23" borderId="22" xfId="65" applyNumberFormat="1" applyFont="1" applyFill="1" applyBorder="1">
      <alignment/>
      <protection/>
    </xf>
    <xf numFmtId="185" fontId="26" fillId="23" borderId="20" xfId="65" applyNumberFormat="1" applyFont="1" applyFill="1" applyBorder="1">
      <alignment/>
      <protection/>
    </xf>
    <xf numFmtId="0" fontId="27" fillId="4" borderId="0" xfId="0" applyFont="1" applyFill="1" applyBorder="1" applyAlignment="1">
      <alignment horizontal="left" indent="2"/>
    </xf>
    <xf numFmtId="202" fontId="4" fillId="23" borderId="0" xfId="42" applyNumberFormat="1" applyFont="1" applyFill="1" applyBorder="1" applyAlignment="1">
      <alignment horizontal="right"/>
    </xf>
    <xf numFmtId="202" fontId="4" fillId="26" borderId="0" xfId="42" applyNumberFormat="1" applyFont="1" applyFill="1" applyBorder="1" applyAlignment="1">
      <alignment horizontal="right"/>
    </xf>
    <xf numFmtId="0" fontId="26" fillId="23" borderId="0" xfId="65" applyFont="1" applyFill="1" applyBorder="1">
      <alignment/>
      <protection/>
    </xf>
    <xf numFmtId="0" fontId="27" fillId="23" borderId="0" xfId="65" applyFont="1" applyFill="1" applyBorder="1" applyAlignment="1">
      <alignment horizontal="left" indent="1"/>
      <protection/>
    </xf>
    <xf numFmtId="0" fontId="26" fillId="23" borderId="0" xfId="65" applyFont="1" applyFill="1" applyBorder="1" applyAlignment="1">
      <alignment horizontal="left"/>
      <protection/>
    </xf>
    <xf numFmtId="185" fontId="27" fillId="23" borderId="0" xfId="65" applyNumberFormat="1" applyFont="1" applyFill="1" applyBorder="1" applyAlignment="1">
      <alignment horizontal="left" indent="1"/>
      <protection/>
    </xf>
    <xf numFmtId="0" fontId="26" fillId="23" borderId="22" xfId="65" applyFont="1" applyFill="1" applyBorder="1">
      <alignment/>
      <protection/>
    </xf>
    <xf numFmtId="0" fontId="45" fillId="0" borderId="0" xfId="0" applyFont="1" applyAlignment="1">
      <alignment/>
    </xf>
    <xf numFmtId="0" fontId="4" fillId="4" borderId="20" xfId="0" applyFont="1" applyFill="1" applyBorder="1" applyAlignment="1">
      <alignment horizontal="left" indent="3"/>
    </xf>
    <xf numFmtId="0" fontId="27" fillId="23" borderId="20" xfId="0" applyFont="1" applyFill="1" applyBorder="1" applyAlignment="1">
      <alignment horizontal="left" indent="1"/>
    </xf>
    <xf numFmtId="0" fontId="13" fillId="24" borderId="14" xfId="0" applyFont="1" applyFill="1" applyBorder="1" applyAlignment="1">
      <alignment horizontal="right"/>
    </xf>
    <xf numFmtId="0" fontId="13" fillId="24" borderId="13" xfId="0" applyFont="1" applyFill="1" applyBorder="1" applyAlignment="1">
      <alignment horizontal="right"/>
    </xf>
    <xf numFmtId="46" fontId="30" fillId="24" borderId="25" xfId="0" applyNumberFormat="1" applyFont="1" applyFill="1" applyBorder="1" applyAlignment="1">
      <alignment horizontal="right"/>
    </xf>
    <xf numFmtId="185" fontId="26" fillId="26" borderId="0" xfId="64" applyNumberFormat="1" applyFont="1" applyFill="1" applyBorder="1">
      <alignment/>
      <protection/>
    </xf>
    <xf numFmtId="185" fontId="4" fillId="26" borderId="0" xfId="64" applyNumberFormat="1" applyFont="1" applyFill="1" applyBorder="1">
      <alignment/>
      <protection/>
    </xf>
    <xf numFmtId="185" fontId="4" fillId="26" borderId="0" xfId="64" applyNumberFormat="1" applyFont="1" applyFill="1" applyBorder="1" applyAlignment="1">
      <alignment horizontal="right"/>
      <protection/>
    </xf>
    <xf numFmtId="178" fontId="4" fillId="23" borderId="20" xfId="64" applyNumberFormat="1" applyFont="1" applyFill="1" applyBorder="1">
      <alignment/>
      <protection/>
    </xf>
    <xf numFmtId="185" fontId="4" fillId="26" borderId="20" xfId="64" applyNumberFormat="1" applyFont="1" applyFill="1" applyBorder="1">
      <alignment/>
      <protection/>
    </xf>
    <xf numFmtId="185" fontId="4" fillId="0" borderId="30" xfId="0" applyNumberFormat="1" applyFont="1" applyFill="1" applyBorder="1" applyAlignment="1">
      <alignment/>
    </xf>
    <xf numFmtId="0" fontId="46" fillId="0" borderId="0" xfId="0" applyFont="1" applyAlignment="1">
      <alignment horizontal="center"/>
    </xf>
    <xf numFmtId="0" fontId="68" fillId="0" borderId="0" xfId="0" applyFont="1" applyAlignment="1">
      <alignment/>
    </xf>
    <xf numFmtId="0" fontId="81" fillId="0" borderId="0" xfId="0" applyFont="1" applyAlignment="1">
      <alignment/>
    </xf>
    <xf numFmtId="0" fontId="83" fillId="0" borderId="0" xfId="0" applyFont="1" applyAlignment="1">
      <alignment/>
    </xf>
    <xf numFmtId="0" fontId="15" fillId="0" borderId="0" xfId="0" applyFont="1" applyBorder="1" applyAlignment="1">
      <alignment/>
    </xf>
    <xf numFmtId="0" fontId="40" fillId="24" borderId="16" xfId="0" applyFont="1" applyFill="1" applyBorder="1" applyAlignment="1">
      <alignment horizontal="center"/>
    </xf>
    <xf numFmtId="17" fontId="40" fillId="24" borderId="16" xfId="0" applyNumberFormat="1" applyFont="1" applyFill="1" applyBorder="1" applyAlignment="1">
      <alignment horizontal="center"/>
    </xf>
    <xf numFmtId="17" fontId="40" fillId="24" borderId="26" xfId="0" applyNumberFormat="1" applyFont="1" applyFill="1" applyBorder="1" applyAlignment="1">
      <alignment horizontal="center"/>
    </xf>
    <xf numFmtId="0" fontId="20" fillId="24" borderId="31" xfId="0" applyFont="1" applyFill="1" applyBorder="1" applyAlignment="1">
      <alignment horizontal="center"/>
    </xf>
    <xf numFmtId="0" fontId="20" fillId="24" borderId="32" xfId="0" applyFont="1" applyFill="1" applyBorder="1" applyAlignment="1">
      <alignment horizontal="center"/>
    </xf>
    <xf numFmtId="0" fontId="2" fillId="25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0" fillId="24" borderId="30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_S1" xfId="64"/>
    <cellStyle name="Normal_S7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14025"/>
          <c:w val="0.838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'[2]M1 M2 Chart'!$B$3</c:f>
              <c:strCache>
                <c:ptCount val="1"/>
                <c:pt idx="0">
                  <c:v>M2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'[2]M1 M2 Chart'!$AN$7:$AZ$7</c:f>
              <c:numCache>
                <c:ptCount val="13"/>
                <c:pt idx="0">
                  <c:v>38807</c:v>
                </c:pt>
                <c:pt idx="1">
                  <c:v>38837</c:v>
                </c:pt>
                <c:pt idx="2">
                  <c:v>38868</c:v>
                </c:pt>
                <c:pt idx="3">
                  <c:v>38898</c:v>
                </c:pt>
                <c:pt idx="4">
                  <c:v>38929</c:v>
                </c:pt>
                <c:pt idx="5">
                  <c:v>38960</c:v>
                </c:pt>
                <c:pt idx="6">
                  <c:v>38990</c:v>
                </c:pt>
                <c:pt idx="7">
                  <c:v>39021</c:v>
                </c:pt>
                <c:pt idx="8">
                  <c:v>39051</c:v>
                </c:pt>
                <c:pt idx="9">
                  <c:v>39082</c:v>
                </c:pt>
                <c:pt idx="10">
                  <c:v>39113</c:v>
                </c:pt>
                <c:pt idx="11">
                  <c:v>39141</c:v>
                </c:pt>
                <c:pt idx="12">
                  <c:v>39172</c:v>
                </c:pt>
              </c:numCache>
            </c:numRef>
          </c:cat>
          <c:val>
            <c:numRef>
              <c:f>'[2]M1 M2 Chart'!$AN$8:$AZ$8</c:f>
              <c:numCache>
                <c:ptCount val="13"/>
                <c:pt idx="0">
                  <c:v>7.30664569346007</c:v>
                </c:pt>
                <c:pt idx="1">
                  <c:v>2.018408013252184</c:v>
                </c:pt>
                <c:pt idx="2">
                  <c:v>3.053687786141357</c:v>
                </c:pt>
                <c:pt idx="3">
                  <c:v>4.218696831444213</c:v>
                </c:pt>
                <c:pt idx="4">
                  <c:v>2.064092169580869</c:v>
                </c:pt>
                <c:pt idx="5">
                  <c:v>-1.6380485020217113</c:v>
                </c:pt>
                <c:pt idx="6">
                  <c:v>4.277929218815961</c:v>
                </c:pt>
                <c:pt idx="7">
                  <c:v>3.375699863912038</c:v>
                </c:pt>
                <c:pt idx="8">
                  <c:v>1.7061921582027462</c:v>
                </c:pt>
                <c:pt idx="9">
                  <c:v>-0.34170916060395856</c:v>
                </c:pt>
                <c:pt idx="10">
                  <c:v>3.1247813249456087</c:v>
                </c:pt>
                <c:pt idx="11">
                  <c:v>-0.8175012350289527</c:v>
                </c:pt>
                <c:pt idx="12">
                  <c:v>-2.0163592435092164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'[2]M1 M2 Chart'!$B$4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'[2]M1 M2 Chart'!$AN$7:$AZ$7</c:f>
              <c:numCache>
                <c:ptCount val="13"/>
                <c:pt idx="0">
                  <c:v>38807</c:v>
                </c:pt>
                <c:pt idx="1">
                  <c:v>38837</c:v>
                </c:pt>
                <c:pt idx="2">
                  <c:v>38868</c:v>
                </c:pt>
                <c:pt idx="3">
                  <c:v>38898</c:v>
                </c:pt>
                <c:pt idx="4">
                  <c:v>38929</c:v>
                </c:pt>
                <c:pt idx="5">
                  <c:v>38960</c:v>
                </c:pt>
                <c:pt idx="6">
                  <c:v>38990</c:v>
                </c:pt>
                <c:pt idx="7">
                  <c:v>39021</c:v>
                </c:pt>
                <c:pt idx="8">
                  <c:v>39051</c:v>
                </c:pt>
                <c:pt idx="9">
                  <c:v>39082</c:v>
                </c:pt>
                <c:pt idx="10">
                  <c:v>39113</c:v>
                </c:pt>
                <c:pt idx="11">
                  <c:v>39141</c:v>
                </c:pt>
                <c:pt idx="12">
                  <c:v>39172</c:v>
                </c:pt>
              </c:numCache>
            </c:numRef>
          </c:cat>
          <c:val>
            <c:numRef>
              <c:f>'[2]M1 M2 Chart'!$AN$9:$AZ$9</c:f>
              <c:numCache>
                <c:ptCount val="13"/>
                <c:pt idx="0">
                  <c:v>9.25840878158208</c:v>
                </c:pt>
                <c:pt idx="1">
                  <c:v>0.06528293651520134</c:v>
                </c:pt>
                <c:pt idx="2">
                  <c:v>4.073994220362538</c:v>
                </c:pt>
                <c:pt idx="3">
                  <c:v>1.5601745047783908</c:v>
                </c:pt>
                <c:pt idx="4">
                  <c:v>3.1219530629032963</c:v>
                </c:pt>
                <c:pt idx="5">
                  <c:v>-1.2778560719822774</c:v>
                </c:pt>
                <c:pt idx="6">
                  <c:v>4.381616536762638</c:v>
                </c:pt>
                <c:pt idx="7">
                  <c:v>11.541825685977763</c:v>
                </c:pt>
                <c:pt idx="8">
                  <c:v>-0.570174384078555</c:v>
                </c:pt>
                <c:pt idx="9">
                  <c:v>-3.8684085489309523</c:v>
                </c:pt>
                <c:pt idx="10">
                  <c:v>6.0581762262908185</c:v>
                </c:pt>
                <c:pt idx="11">
                  <c:v>0.8055996711286546</c:v>
                </c:pt>
                <c:pt idx="12">
                  <c:v>1.2216558177303205</c:v>
                </c:pt>
              </c:numCache>
            </c:numRef>
          </c:val>
          <c:smooth val="0"/>
        </c:ser>
        <c:axId val="64831852"/>
        <c:axId val="46615757"/>
      </c:lineChart>
      <c:catAx>
        <c:axId val="64831852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2760000"/>
          <a:lstStyle/>
          <a:p>
            <a:pPr>
              <a:defRPr lang="en-US" cap="none" sz="950" b="1" i="0" u="none" baseline="0">
                <a:solidFill>
                  <a:srgbClr val="800000"/>
                </a:solidFill>
              </a:defRPr>
            </a:pPr>
          </a:p>
        </c:txPr>
        <c:crossAx val="46615757"/>
        <c:crosses val="autoZero"/>
        <c:auto val="1"/>
        <c:lblOffset val="100"/>
        <c:noMultiLvlLbl val="0"/>
      </c:catAx>
      <c:valAx>
        <c:axId val="46615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800000"/>
                </a:solidFill>
              </a:defRPr>
            </a:pPr>
          </a:p>
        </c:txPr>
        <c:crossAx val="648318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025"/>
          <c:y val="0.9395"/>
          <c:w val="0.5315"/>
          <c:h val="0.05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985"/>
          <c:w val="0.923"/>
          <c:h val="0.771"/>
        </c:manualLayout>
      </c:layout>
      <c:lineChart>
        <c:grouping val="standard"/>
        <c:varyColors val="0"/>
        <c:ser>
          <c:idx val="0"/>
          <c:order val="0"/>
          <c:tx>
            <c:strRef>
              <c:f>'[2] PSC chart'!$B$11</c:f>
              <c:strCache>
                <c:ptCount val="1"/>
                <c:pt idx="0">
                  <c:v>Dom claims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 PSC chart'!$AM$10:$AY$10</c:f>
              <c:numCache>
                <c:ptCount val="13"/>
                <c:pt idx="0">
                  <c:v>38807</c:v>
                </c:pt>
                <c:pt idx="1">
                  <c:v>38837</c:v>
                </c:pt>
                <c:pt idx="2">
                  <c:v>38868</c:v>
                </c:pt>
                <c:pt idx="3">
                  <c:v>38898</c:v>
                </c:pt>
                <c:pt idx="4">
                  <c:v>38929</c:v>
                </c:pt>
                <c:pt idx="5">
                  <c:v>38960</c:v>
                </c:pt>
                <c:pt idx="6">
                  <c:v>38990</c:v>
                </c:pt>
                <c:pt idx="7">
                  <c:v>39021</c:v>
                </c:pt>
                <c:pt idx="8">
                  <c:v>39051</c:v>
                </c:pt>
                <c:pt idx="9">
                  <c:v>39082</c:v>
                </c:pt>
                <c:pt idx="10">
                  <c:v>39113</c:v>
                </c:pt>
                <c:pt idx="11">
                  <c:v>39141</c:v>
                </c:pt>
                <c:pt idx="12">
                  <c:v>39172</c:v>
                </c:pt>
              </c:numCache>
            </c:numRef>
          </c:cat>
          <c:val>
            <c:numRef>
              <c:f>'[2] PSC chart'!$AM$11:$AY$11</c:f>
              <c:numCache>
                <c:ptCount val="13"/>
                <c:pt idx="0">
                  <c:v>0.8100890367547707</c:v>
                </c:pt>
                <c:pt idx="1">
                  <c:v>-2.739376001603576</c:v>
                </c:pt>
                <c:pt idx="2">
                  <c:v>4.374669762710496</c:v>
                </c:pt>
                <c:pt idx="3">
                  <c:v>2.6579112339420976</c:v>
                </c:pt>
                <c:pt idx="4">
                  <c:v>-1.7217054446794489</c:v>
                </c:pt>
                <c:pt idx="5">
                  <c:v>2.56009021400702</c:v>
                </c:pt>
                <c:pt idx="6">
                  <c:v>0.20969565247536456</c:v>
                </c:pt>
                <c:pt idx="7">
                  <c:v>-1.5314771320431253</c:v>
                </c:pt>
                <c:pt idx="8">
                  <c:v>2.9984069201778913</c:v>
                </c:pt>
                <c:pt idx="9">
                  <c:v>0.2131848422549674</c:v>
                </c:pt>
                <c:pt idx="10">
                  <c:v>-6.01361231956756</c:v>
                </c:pt>
                <c:pt idx="11">
                  <c:v>3.468989134525586</c:v>
                </c:pt>
                <c:pt idx="12">
                  <c:v>-1.1060404066356289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 PSC chart'!$AM$10:$AY$10</c:f>
              <c:numCache>
                <c:ptCount val="13"/>
                <c:pt idx="0">
                  <c:v>38807</c:v>
                </c:pt>
                <c:pt idx="1">
                  <c:v>38837</c:v>
                </c:pt>
                <c:pt idx="2">
                  <c:v>38868</c:v>
                </c:pt>
                <c:pt idx="3">
                  <c:v>38898</c:v>
                </c:pt>
                <c:pt idx="4">
                  <c:v>38929</c:v>
                </c:pt>
                <c:pt idx="5">
                  <c:v>38960</c:v>
                </c:pt>
                <c:pt idx="6">
                  <c:v>38990</c:v>
                </c:pt>
                <c:pt idx="7">
                  <c:v>39021</c:v>
                </c:pt>
                <c:pt idx="8">
                  <c:v>39051</c:v>
                </c:pt>
                <c:pt idx="9">
                  <c:v>39082</c:v>
                </c:pt>
                <c:pt idx="10">
                  <c:v>39113</c:v>
                </c:pt>
                <c:pt idx="11">
                  <c:v>39141</c:v>
                </c:pt>
                <c:pt idx="12">
                  <c:v>39172</c:v>
                </c:pt>
              </c:numCache>
            </c:numRef>
          </c:cat>
          <c:val>
            <c:numRef>
              <c:f>'[2] PSC chart'!$AM$12:$AY$12</c:f>
              <c:numCache>
                <c:ptCount val="13"/>
                <c:pt idx="0">
                  <c:v>-0.23208471129762012</c:v>
                </c:pt>
                <c:pt idx="1">
                  <c:v>1.9381062631188901</c:v>
                </c:pt>
                <c:pt idx="2">
                  <c:v>1.673006597960738</c:v>
                </c:pt>
                <c:pt idx="3">
                  <c:v>0.5301595046702494</c:v>
                </c:pt>
                <c:pt idx="4">
                  <c:v>2.723141408263861</c:v>
                </c:pt>
                <c:pt idx="5">
                  <c:v>0.25593587875896684</c:v>
                </c:pt>
                <c:pt idx="6">
                  <c:v>0.057520487008683195</c:v>
                </c:pt>
                <c:pt idx="7">
                  <c:v>1.4821953880777343</c:v>
                </c:pt>
                <c:pt idx="8">
                  <c:v>0.15550027153967988</c:v>
                </c:pt>
                <c:pt idx="9">
                  <c:v>0.6583832117324644</c:v>
                </c:pt>
                <c:pt idx="10">
                  <c:v>2.5491633077906704</c:v>
                </c:pt>
                <c:pt idx="11">
                  <c:v>1.43400578490035</c:v>
                </c:pt>
                <c:pt idx="12">
                  <c:v>0.775029504938087</c:v>
                </c:pt>
              </c:numCache>
            </c:numRef>
          </c:val>
          <c:smooth val="0"/>
        </c:ser>
        <c:axId val="16888630"/>
        <c:axId val="17779943"/>
      </c:lineChart>
      <c:catAx>
        <c:axId val="16888630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925" b="1" i="0" u="none" baseline="0">
                <a:solidFill>
                  <a:srgbClr val="800000"/>
                </a:solidFill>
              </a:defRPr>
            </a:pPr>
          </a:p>
        </c:txPr>
        <c:crossAx val="17779943"/>
        <c:crosses val="autoZero"/>
        <c:auto val="1"/>
        <c:lblOffset val="100"/>
        <c:noMultiLvlLbl val="0"/>
      </c:catAx>
      <c:valAx>
        <c:axId val="17779943"/>
        <c:scaling>
          <c:orientation val="minMax"/>
          <c:max val="10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/>
          <c:overlay val="0"/>
          <c:spPr>
            <a:noFill/>
            <a:ln w="3175">
              <a:solidFill>
                <a:srgbClr val="800000"/>
              </a:solidFill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800000"/>
                </a:solidFill>
              </a:defRPr>
            </a:pPr>
          </a:p>
        </c:txPr>
        <c:crossAx val="16888630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8"/>
          <c:y val="0.91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61"/>
          <c:w val="0.909"/>
          <c:h val="0.8745"/>
        </c:manualLayout>
      </c:layout>
      <c:lineChart>
        <c:grouping val="standard"/>
        <c:varyColors val="0"/>
        <c:ser>
          <c:idx val="0"/>
          <c:order val="0"/>
          <c:tx>
            <c:v>Overall index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numRef>
              <c:f>'[3]Monthly indices'!$B$125:$B$137</c:f>
              <c:numCache>
                <c:ptCount val="13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38960</c:v>
                </c:pt>
                <c:pt idx="6">
                  <c:v>38990</c:v>
                </c:pt>
                <c:pt idx="7">
                  <c:v>39021</c:v>
                </c:pt>
                <c:pt idx="8">
                  <c:v>39051</c:v>
                </c:pt>
                <c:pt idx="9">
                  <c:v>39082</c:v>
                </c:pt>
                <c:pt idx="10">
                  <c:v>39113</c:v>
                </c:pt>
                <c:pt idx="11">
                  <c:v>39141</c:v>
                </c:pt>
                <c:pt idx="12">
                  <c:v>39172</c:v>
                </c:pt>
              </c:numCache>
            </c:numRef>
          </c:cat>
          <c:val>
            <c:numRef>
              <c:f>'[3]Monthly indices'!$C$125:$C$137</c:f>
              <c:numCache>
                <c:ptCount val="13"/>
                <c:pt idx="0">
                  <c:v>622</c:v>
                </c:pt>
                <c:pt idx="1">
                  <c:v>655</c:v>
                </c:pt>
                <c:pt idx="2">
                  <c:v>682</c:v>
                </c:pt>
                <c:pt idx="3">
                  <c:v>665.85</c:v>
                </c:pt>
                <c:pt idx="4">
                  <c:v>688.72</c:v>
                </c:pt>
                <c:pt idx="5">
                  <c:v>727.36</c:v>
                </c:pt>
                <c:pt idx="6">
                  <c:v>754.36</c:v>
                </c:pt>
                <c:pt idx="7">
                  <c:v>790.35</c:v>
                </c:pt>
                <c:pt idx="8">
                  <c:v>792.6</c:v>
                </c:pt>
                <c:pt idx="9">
                  <c:v>828</c:v>
                </c:pt>
                <c:pt idx="10">
                  <c:v>838.25</c:v>
                </c:pt>
                <c:pt idx="11">
                  <c:v>852.78</c:v>
                </c:pt>
                <c:pt idx="12">
                  <c:v>911.26</c:v>
                </c:pt>
              </c:numCache>
            </c:numRef>
          </c:val>
          <c:smooth val="1"/>
        </c:ser>
        <c:hiLowLines>
          <c:spPr>
            <a:ln w="3175">
              <a:solidFill/>
            </a:ln>
          </c:spPr>
        </c:hiLowLines>
        <c:axId val="25801760"/>
        <c:axId val="30889249"/>
      </c:lineChart>
      <c:lineChart>
        <c:grouping val="standard"/>
        <c:varyColors val="0"/>
        <c:ser>
          <c:idx val="1"/>
          <c:order val="1"/>
          <c:tx>
            <c:strRef>
              <c:f>'[3]Monthly indices'!$D$2</c:f>
              <c:strCache>
                <c:ptCount val="1"/>
                <c:pt idx="0">
                  <c:v>NSX Local index (RHS)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val>
            <c:numRef>
              <c:f>'[3]Monthly indices'!$D$125:$D$137</c:f>
              <c:numCache>
                <c:ptCount val="13"/>
                <c:pt idx="0">
                  <c:v>77.02</c:v>
                </c:pt>
                <c:pt idx="1">
                  <c:v>79</c:v>
                </c:pt>
                <c:pt idx="2">
                  <c:v>79</c:v>
                </c:pt>
                <c:pt idx="3">
                  <c:v>80.95</c:v>
                </c:pt>
                <c:pt idx="4">
                  <c:v>83.73</c:v>
                </c:pt>
                <c:pt idx="5">
                  <c:v>82.05</c:v>
                </c:pt>
                <c:pt idx="6">
                  <c:v>82.05</c:v>
                </c:pt>
                <c:pt idx="7">
                  <c:v>86.01</c:v>
                </c:pt>
                <c:pt idx="8">
                  <c:v>88.1</c:v>
                </c:pt>
                <c:pt idx="9">
                  <c:v>91</c:v>
                </c:pt>
                <c:pt idx="10">
                  <c:v>92.2</c:v>
                </c:pt>
                <c:pt idx="11">
                  <c:v>94.25</c:v>
                </c:pt>
                <c:pt idx="12">
                  <c:v>101.61</c:v>
                </c:pt>
              </c:numCache>
            </c:numRef>
          </c:val>
          <c:smooth val="0"/>
        </c:ser>
        <c:axId val="9567786"/>
        <c:axId val="19001211"/>
      </c:lineChart>
      <c:catAx>
        <c:axId val="25801760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800000"/>
                </a:solidFill>
              </a:defRPr>
            </a:pPr>
          </a:p>
        </c:txPr>
        <c:crossAx val="30889249"/>
        <c:crosses val="autoZero"/>
        <c:auto val="1"/>
        <c:lblOffset val="100"/>
        <c:noMultiLvlLbl val="0"/>
      </c:catAx>
      <c:valAx>
        <c:axId val="30889249"/>
        <c:scaling>
          <c:orientation val="minMax"/>
          <c:max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800000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800000"/>
                </a:solidFill>
              </a:defRPr>
            </a:pPr>
          </a:p>
        </c:txPr>
        <c:crossAx val="25801760"/>
        <c:crossesAt val="1"/>
        <c:crossBetween val="between"/>
        <c:dispUnits/>
      </c:valAx>
      <c:catAx>
        <c:axId val="9567786"/>
        <c:scaling>
          <c:orientation val="minMax"/>
        </c:scaling>
        <c:axPos val="b"/>
        <c:delete val="1"/>
        <c:majorTickMark val="cross"/>
        <c:minorTickMark val="none"/>
        <c:tickLblPos val="nextTo"/>
        <c:crossAx val="19001211"/>
        <c:crosses val="autoZero"/>
        <c:auto val="1"/>
        <c:lblOffset val="100"/>
        <c:noMultiLvlLbl val="0"/>
      </c:catAx>
      <c:valAx>
        <c:axId val="19001211"/>
        <c:scaling>
          <c:orientation val="minMax"/>
          <c:max val="140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solidFill>
                  <a:srgbClr val="800000"/>
                </a:solidFill>
              </a:defRPr>
            </a:pPr>
          </a:p>
        </c:txPr>
        <c:crossAx val="956778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3"/>
          <c:y val="0.94625"/>
          <c:w val="0.5055"/>
          <c:h val="0.0537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995"/>
          <c:w val="0.88325"/>
          <c:h val="0.56275"/>
        </c:manualLayout>
      </c:layout>
      <c:lineChart>
        <c:grouping val="standard"/>
        <c:varyColors val="0"/>
        <c:ser>
          <c:idx val="0"/>
          <c:order val="0"/>
          <c:tx>
            <c:v>Bank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'[5]Data'!$D$191:$D$203</c:f>
              <c:numCache>
                <c:ptCount val="13"/>
                <c:pt idx="0">
                  <c:v>38778</c:v>
                </c:pt>
                <c:pt idx="1">
                  <c:v>38809</c:v>
                </c:pt>
                <c:pt idx="2">
                  <c:v>38839</c:v>
                </c:pt>
                <c:pt idx="3">
                  <c:v>38870</c:v>
                </c:pt>
                <c:pt idx="4">
                  <c:v>38900</c:v>
                </c:pt>
                <c:pt idx="5">
                  <c:v>38931</c:v>
                </c:pt>
                <c:pt idx="6">
                  <c:v>38962</c:v>
                </c:pt>
                <c:pt idx="7">
                  <c:v>38992</c:v>
                </c:pt>
                <c:pt idx="8">
                  <c:v>39023</c:v>
                </c:pt>
                <c:pt idx="9">
                  <c:v>39053</c:v>
                </c:pt>
                <c:pt idx="10">
                  <c:v>39084</c:v>
                </c:pt>
                <c:pt idx="11">
                  <c:v>39115</c:v>
                </c:pt>
                <c:pt idx="12">
                  <c:v>39143</c:v>
                </c:pt>
              </c:numCache>
            </c:numRef>
          </c:cat>
          <c:val>
            <c:numRef>
              <c:f>'[5]Data'!$F$191:$F$203</c:f>
              <c:numCache>
                <c:ptCount val="13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7.5</c:v>
                </c:pt>
                <c:pt idx="4">
                  <c:v>7.5</c:v>
                </c:pt>
                <c:pt idx="5">
                  <c:v>8</c:v>
                </c:pt>
                <c:pt idx="6">
                  <c:v>8</c:v>
                </c:pt>
                <c:pt idx="7">
                  <c:v>8.5</c:v>
                </c:pt>
                <c:pt idx="8">
                  <c:v>8.5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'[5]Data'!$K$5:$K$6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'[5]Data'!$D$191:$D$203</c:f>
              <c:numCache>
                <c:ptCount val="13"/>
                <c:pt idx="0">
                  <c:v>38778</c:v>
                </c:pt>
                <c:pt idx="1">
                  <c:v>38809</c:v>
                </c:pt>
                <c:pt idx="2">
                  <c:v>38839</c:v>
                </c:pt>
                <c:pt idx="3">
                  <c:v>38870</c:v>
                </c:pt>
                <c:pt idx="4">
                  <c:v>38900</c:v>
                </c:pt>
                <c:pt idx="5">
                  <c:v>38931</c:v>
                </c:pt>
                <c:pt idx="6">
                  <c:v>38962</c:v>
                </c:pt>
                <c:pt idx="7">
                  <c:v>38992</c:v>
                </c:pt>
                <c:pt idx="8">
                  <c:v>39023</c:v>
                </c:pt>
                <c:pt idx="9">
                  <c:v>39053</c:v>
                </c:pt>
                <c:pt idx="10">
                  <c:v>39084</c:v>
                </c:pt>
                <c:pt idx="11">
                  <c:v>39115</c:v>
                </c:pt>
                <c:pt idx="12">
                  <c:v>39143</c:v>
                </c:pt>
              </c:numCache>
            </c:numRef>
          </c:cat>
          <c:val>
            <c:numRef>
              <c:f>'[5]Data'!$K$191:$K$203</c:f>
              <c:numCache>
                <c:ptCount val="13"/>
                <c:pt idx="0">
                  <c:v>6.11</c:v>
                </c:pt>
                <c:pt idx="1">
                  <c:v>6.31</c:v>
                </c:pt>
                <c:pt idx="2">
                  <c:v>6.13</c:v>
                </c:pt>
                <c:pt idx="3">
                  <c:v>6.24</c:v>
                </c:pt>
                <c:pt idx="4">
                  <c:v>6.18</c:v>
                </c:pt>
                <c:pt idx="5">
                  <c:v>6.34</c:v>
                </c:pt>
                <c:pt idx="6">
                  <c:v>6.22</c:v>
                </c:pt>
                <c:pt idx="7">
                  <c:v>6.37</c:v>
                </c:pt>
                <c:pt idx="8">
                  <c:v>6.64</c:v>
                </c:pt>
                <c:pt idx="9">
                  <c:v>6.85</c:v>
                </c:pt>
                <c:pt idx="10">
                  <c:v>6.98</c:v>
                </c:pt>
                <c:pt idx="11">
                  <c:v>7.38</c:v>
                </c:pt>
                <c:pt idx="12">
                  <c:v>7.22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'[5]Data'!$L$5:$L$6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'[5]Data'!$D$191:$D$203</c:f>
              <c:numCache>
                <c:ptCount val="13"/>
                <c:pt idx="0">
                  <c:v>38778</c:v>
                </c:pt>
                <c:pt idx="1">
                  <c:v>38809</c:v>
                </c:pt>
                <c:pt idx="2">
                  <c:v>38839</c:v>
                </c:pt>
                <c:pt idx="3">
                  <c:v>38870</c:v>
                </c:pt>
                <c:pt idx="4">
                  <c:v>38900</c:v>
                </c:pt>
                <c:pt idx="5">
                  <c:v>38931</c:v>
                </c:pt>
                <c:pt idx="6">
                  <c:v>38962</c:v>
                </c:pt>
                <c:pt idx="7">
                  <c:v>38992</c:v>
                </c:pt>
                <c:pt idx="8">
                  <c:v>39023</c:v>
                </c:pt>
                <c:pt idx="9">
                  <c:v>39053</c:v>
                </c:pt>
                <c:pt idx="10">
                  <c:v>39084</c:v>
                </c:pt>
                <c:pt idx="11">
                  <c:v>39115</c:v>
                </c:pt>
                <c:pt idx="12">
                  <c:v>39143</c:v>
                </c:pt>
              </c:numCache>
            </c:numRef>
          </c:cat>
          <c:val>
            <c:numRef>
              <c:f>'[5]Data'!$L$191:$L$203</c:f>
              <c:numCache>
                <c:ptCount val="13"/>
                <c:pt idx="0">
                  <c:v>10.78</c:v>
                </c:pt>
                <c:pt idx="1">
                  <c:v>10.58</c:v>
                </c:pt>
                <c:pt idx="2">
                  <c:v>10.8</c:v>
                </c:pt>
                <c:pt idx="3">
                  <c:v>10.61</c:v>
                </c:pt>
                <c:pt idx="4">
                  <c:v>10.93</c:v>
                </c:pt>
                <c:pt idx="5">
                  <c:v>11.01</c:v>
                </c:pt>
                <c:pt idx="6">
                  <c:v>11.71</c:v>
                </c:pt>
                <c:pt idx="7">
                  <c:v>11.97</c:v>
                </c:pt>
                <c:pt idx="8">
                  <c:v>12.2</c:v>
                </c:pt>
                <c:pt idx="9">
                  <c:v>12.43</c:v>
                </c:pt>
                <c:pt idx="10">
                  <c:v>12.63</c:v>
                </c:pt>
                <c:pt idx="11">
                  <c:v>12.32</c:v>
                </c:pt>
                <c:pt idx="12">
                  <c:v>11.9</c:v>
                </c:pt>
              </c:numCache>
            </c:numRef>
          </c:val>
          <c:smooth val="0"/>
        </c:ser>
        <c:marker val="1"/>
        <c:axId val="36793172"/>
        <c:axId val="62703093"/>
      </c:lineChart>
      <c:catAx>
        <c:axId val="36793172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2640000"/>
          <a:lstStyle/>
          <a:p>
            <a:pPr>
              <a:defRPr lang="en-US" cap="none" sz="1100" b="1" i="0" u="none" baseline="0">
                <a:solidFill>
                  <a:srgbClr val="800000"/>
                </a:solidFill>
              </a:defRPr>
            </a:pPr>
          </a:p>
        </c:txPr>
        <c:crossAx val="62703093"/>
        <c:crossesAt val="0"/>
        <c:auto val="1"/>
        <c:lblOffset val="100"/>
        <c:noMultiLvlLbl val="0"/>
      </c:catAx>
      <c:valAx>
        <c:axId val="62703093"/>
        <c:scaling>
          <c:orientation val="minMax"/>
          <c:max val="16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800000"/>
                    </a:solidFill>
                  </a:rPr>
                  <a:t>per cent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1125"/>
            </c:manualLayout>
          </c:layout>
          <c:overlay val="0"/>
          <c:spPr>
            <a:solidFill>
              <a:srgbClr val="FFFFCC"/>
            </a:solidFill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800000"/>
                </a:solidFill>
              </a:defRPr>
            </a:pPr>
          </a:p>
        </c:txPr>
        <c:crossAx val="36793172"/>
        <c:crossesAt val="1"/>
        <c:crossBetween val="between"/>
        <c:dispUnits/>
        <c:majorUnit val="3"/>
        <c:minorUnit val="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525"/>
          <c:y val="0.69575"/>
          <c:w val="0.57525"/>
          <c:h val="0.08025"/>
        </c:manualLayout>
      </c:layout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0375"/>
          <c:w val="0.90375"/>
          <c:h val="0.836"/>
        </c:manualLayout>
      </c:layout>
      <c:lineChart>
        <c:grouping val="standard"/>
        <c:varyColors val="0"/>
        <c:ser>
          <c:idx val="0"/>
          <c:order val="0"/>
          <c:tx>
            <c:strRef>
              <c:f>'[4]Inflation CPIX -NCPI'!$C$5</c:f>
              <c:strCache>
                <c:ptCount val="1"/>
                <c:pt idx="0">
                  <c:v>RSA CPIX</c:v>
                </c:pt>
              </c:strCache>
            </c:strRef>
          </c:tx>
          <c:spPr>
            <a:ln w="381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noFill/>
              </a:ln>
            </c:spPr>
          </c:marker>
          <c:cat>
            <c:numRef>
              <c:f>'[4]Inflation CPIX -NCPI'!$B$19:$B$31</c:f>
              <c:numCache>
                <c:ptCount val="13"/>
                <c:pt idx="0">
                  <c:v>38807</c:v>
                </c:pt>
                <c:pt idx="1">
                  <c:v>38837</c:v>
                </c:pt>
                <c:pt idx="2">
                  <c:v>38868</c:v>
                </c:pt>
                <c:pt idx="3">
                  <c:v>38898</c:v>
                </c:pt>
                <c:pt idx="4">
                  <c:v>38929</c:v>
                </c:pt>
                <c:pt idx="5">
                  <c:v>38960</c:v>
                </c:pt>
                <c:pt idx="6">
                  <c:v>38990</c:v>
                </c:pt>
                <c:pt idx="7">
                  <c:v>39021</c:v>
                </c:pt>
                <c:pt idx="8">
                  <c:v>39051</c:v>
                </c:pt>
                <c:pt idx="9">
                  <c:v>39082</c:v>
                </c:pt>
                <c:pt idx="10">
                  <c:v>39113</c:v>
                </c:pt>
                <c:pt idx="11">
                  <c:v>39141</c:v>
                </c:pt>
                <c:pt idx="12">
                  <c:v>39172</c:v>
                </c:pt>
              </c:numCache>
            </c:numRef>
          </c:cat>
          <c:val>
            <c:numRef>
              <c:f>'[4]Inflation CPIX -NCPI'!$C$19:$C$31</c:f>
              <c:numCache>
                <c:ptCount val="13"/>
                <c:pt idx="0">
                  <c:v>3.8</c:v>
                </c:pt>
                <c:pt idx="1">
                  <c:v>3.7</c:v>
                </c:pt>
                <c:pt idx="2">
                  <c:v>4.1</c:v>
                </c:pt>
                <c:pt idx="3">
                  <c:v>4.8</c:v>
                </c:pt>
                <c:pt idx="4">
                  <c:v>4.9</c:v>
                </c:pt>
                <c:pt idx="5">
                  <c:v>5</c:v>
                </c:pt>
                <c:pt idx="6">
                  <c:v>5.1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5.3</c:v>
                </c:pt>
                <c:pt idx="11">
                  <c:v>4.9</c:v>
                </c:pt>
                <c:pt idx="12">
                  <c:v>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'[4]Inflation CPIX -NCPI'!$D$5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noFill/>
              </a:ln>
            </c:spPr>
          </c:marker>
          <c:cat>
            <c:numRef>
              <c:f>'[4]Inflation CPIX -NCPI'!$B$19:$B$31</c:f>
              <c:numCache>
                <c:ptCount val="13"/>
                <c:pt idx="0">
                  <c:v>38807</c:v>
                </c:pt>
                <c:pt idx="1">
                  <c:v>38837</c:v>
                </c:pt>
                <c:pt idx="2">
                  <c:v>38868</c:v>
                </c:pt>
                <c:pt idx="3">
                  <c:v>38898</c:v>
                </c:pt>
                <c:pt idx="4">
                  <c:v>38929</c:v>
                </c:pt>
                <c:pt idx="5">
                  <c:v>38960</c:v>
                </c:pt>
                <c:pt idx="6">
                  <c:v>38990</c:v>
                </c:pt>
                <c:pt idx="7">
                  <c:v>39021</c:v>
                </c:pt>
                <c:pt idx="8">
                  <c:v>39051</c:v>
                </c:pt>
                <c:pt idx="9">
                  <c:v>39082</c:v>
                </c:pt>
                <c:pt idx="10">
                  <c:v>39113</c:v>
                </c:pt>
                <c:pt idx="11">
                  <c:v>39141</c:v>
                </c:pt>
                <c:pt idx="12">
                  <c:v>39172</c:v>
                </c:pt>
              </c:numCache>
            </c:numRef>
          </c:cat>
          <c:val>
            <c:numRef>
              <c:f>'[4]Inflation CPIX -NCPI'!$D$19:$D$31</c:f>
              <c:numCache>
                <c:ptCount val="13"/>
                <c:pt idx="0">
                  <c:v>4.6</c:v>
                </c:pt>
                <c:pt idx="1">
                  <c:v>4.4</c:v>
                </c:pt>
                <c:pt idx="2">
                  <c:v>5.1</c:v>
                </c:pt>
                <c:pt idx="3">
                  <c:v>5.3</c:v>
                </c:pt>
                <c:pt idx="4">
                  <c:v>5.1</c:v>
                </c:pt>
                <c:pt idx="5">
                  <c:v>5.4</c:v>
                </c:pt>
                <c:pt idx="6">
                  <c:v>5.5</c:v>
                </c:pt>
                <c:pt idx="7">
                  <c:v>5.8</c:v>
                </c:pt>
                <c:pt idx="8">
                  <c:v>6.1</c:v>
                </c:pt>
                <c:pt idx="9">
                  <c:v>6.1</c:v>
                </c:pt>
                <c:pt idx="10">
                  <c:v>6</c:v>
                </c:pt>
                <c:pt idx="11">
                  <c:v>6</c:v>
                </c:pt>
                <c:pt idx="12">
                  <c:v>6.3</c:v>
                </c:pt>
              </c:numCache>
            </c:numRef>
          </c:val>
          <c:smooth val="0"/>
        </c:ser>
        <c:marker val="1"/>
        <c:axId val="27456926"/>
        <c:axId val="45785743"/>
      </c:lineChart>
      <c:catAx>
        <c:axId val="27456926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1100" b="1" i="0" u="none" baseline="0">
                <a:solidFill>
                  <a:srgbClr val="800000"/>
                </a:solidFill>
              </a:defRPr>
            </a:pPr>
          </a:p>
        </c:txPr>
        <c:crossAx val="45785743"/>
        <c:crosses val="autoZero"/>
        <c:auto val="1"/>
        <c:lblOffset val="100"/>
        <c:noMultiLvlLbl val="0"/>
      </c:catAx>
      <c:valAx>
        <c:axId val="45785743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00"/>
                </a:solidFill>
              </a:defRPr>
            </a:pPr>
          </a:p>
        </c:txPr>
        <c:crossAx val="27456926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4"/>
          <c:y val="0.909"/>
          <c:w val="0.480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4125"/>
          <c:w val="0.95175"/>
          <c:h val="0.958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'S5'!$AN$4:$AZ$4</c:f>
              <c:strCache>
                <c:ptCount val="13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38929</c:v>
                </c:pt>
                <c:pt idx="5">
                  <c:v>38960</c:v>
                </c:pt>
                <c:pt idx="6">
                  <c:v>38990</c:v>
                </c:pt>
                <c:pt idx="7">
                  <c:v>39021</c:v>
                </c:pt>
                <c:pt idx="8">
                  <c:v>39051</c:v>
                </c:pt>
                <c:pt idx="9">
                  <c:v>39082</c:v>
                </c:pt>
                <c:pt idx="10">
                  <c:v>39113</c:v>
                </c:pt>
                <c:pt idx="11">
                  <c:v>39141</c:v>
                </c:pt>
                <c:pt idx="12">
                  <c:v>39172</c:v>
                </c:pt>
              </c:strCache>
            </c:strRef>
          </c:cat>
          <c:val>
            <c:numRef>
              <c:f>'S5'!$AN$13:$AZ$13</c:f>
              <c:numCache>
                <c:ptCount val="13"/>
                <c:pt idx="0">
                  <c:v>0.15988743924277307</c:v>
                </c:pt>
                <c:pt idx="1">
                  <c:v>0.16469038208168643</c:v>
                </c:pt>
                <c:pt idx="2">
                  <c:v>0.15823035174607195</c:v>
                </c:pt>
                <c:pt idx="3">
                  <c:v>0.14378351953299112</c:v>
                </c:pt>
                <c:pt idx="4">
                  <c:v>0.14115720678119223</c:v>
                </c:pt>
                <c:pt idx="5">
                  <c:v>0.14377525052837403</c:v>
                </c:pt>
                <c:pt idx="6">
                  <c:v>0.1349564090798672</c:v>
                </c:pt>
                <c:pt idx="7">
                  <c:v>0.13073262563405322</c:v>
                </c:pt>
                <c:pt idx="8">
                  <c:v>0.1377676135893974</c:v>
                </c:pt>
                <c:pt idx="9">
                  <c:v>0.14203334943044627</c:v>
                </c:pt>
                <c:pt idx="10">
                  <c:v>0.13920209359948774</c:v>
                </c:pt>
                <c:pt idx="11">
                  <c:v>0.13947390443248067</c:v>
                </c:pt>
                <c:pt idx="12">
                  <c:v>0.13602851157602633</c:v>
                </c:pt>
              </c:numCache>
            </c:numRef>
          </c:val>
          <c:smooth val="0"/>
        </c:ser>
        <c:marker val="1"/>
        <c:axId val="9418504"/>
        <c:axId val="17657673"/>
      </c:lineChart>
      <c:dateAx>
        <c:axId val="9418504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200" b="1" i="0" u="none" baseline="0">
                <a:solidFill>
                  <a:srgbClr val="800000"/>
                </a:solidFill>
              </a:defRPr>
            </a:pPr>
          </a:p>
        </c:txPr>
        <c:crossAx val="17657673"/>
        <c:crossesAt val="0.089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7657673"/>
        <c:scaling>
          <c:orientation val="minMax"/>
          <c:max val="0.18"/>
          <c:min val="0.08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800000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800000"/>
                </a:solidFill>
              </a:defRPr>
            </a:pPr>
          </a:p>
        </c:txPr>
        <c:crossAx val="9418504"/>
        <c:crossesAt val="1"/>
        <c:crossBetween val="between"/>
        <c:dispUnits/>
        <c:majorUnit val="0.007"/>
        <c:minorUnit val="0.007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0875"/>
          <c:w val="0.95425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'[2]Int reser chart'!$AO$2:$BA$2</c:f>
              <c:numCache>
                <c:ptCount val="13"/>
                <c:pt idx="0">
                  <c:v>38807</c:v>
                </c:pt>
                <c:pt idx="1">
                  <c:v>38837</c:v>
                </c:pt>
                <c:pt idx="2">
                  <c:v>38868</c:v>
                </c:pt>
                <c:pt idx="3">
                  <c:v>38898</c:v>
                </c:pt>
                <c:pt idx="4">
                  <c:v>38929</c:v>
                </c:pt>
                <c:pt idx="5">
                  <c:v>38960</c:v>
                </c:pt>
                <c:pt idx="6">
                  <c:v>38990</c:v>
                </c:pt>
                <c:pt idx="7">
                  <c:v>39021</c:v>
                </c:pt>
                <c:pt idx="8">
                  <c:v>39051</c:v>
                </c:pt>
                <c:pt idx="9">
                  <c:v>39082</c:v>
                </c:pt>
                <c:pt idx="10">
                  <c:v>39113</c:v>
                </c:pt>
                <c:pt idx="11">
                  <c:v>39141</c:v>
                </c:pt>
                <c:pt idx="12">
                  <c:v>39172</c:v>
                </c:pt>
              </c:numCache>
            </c:numRef>
          </c:cat>
          <c:val>
            <c:numRef>
              <c:f>'[2]Int reser chart'!$AO$3:$BA$3</c:f>
              <c:numCache>
                <c:ptCount val="13"/>
                <c:pt idx="0">
                  <c:v>2457.74191965</c:v>
                </c:pt>
                <c:pt idx="1">
                  <c:v>3129.66725862</c:v>
                </c:pt>
                <c:pt idx="2">
                  <c:v>2973.0466378130004</c:v>
                </c:pt>
                <c:pt idx="3">
                  <c:v>2677.9226340200003</c:v>
                </c:pt>
                <c:pt idx="4">
                  <c:v>3313.1347334800002</c:v>
                </c:pt>
                <c:pt idx="5">
                  <c:v>2760.7403289100002</c:v>
                </c:pt>
                <c:pt idx="6">
                  <c:v>3119.24184594</c:v>
                </c:pt>
                <c:pt idx="7">
                  <c:v>4104.408667917</c:v>
                </c:pt>
                <c:pt idx="8">
                  <c:v>3495.223781143</c:v>
                </c:pt>
                <c:pt idx="9">
                  <c:v>3164.29667116</c:v>
                </c:pt>
                <c:pt idx="10">
                  <c:v>4865.564786686</c:v>
                </c:pt>
                <c:pt idx="11">
                  <c:v>4466.368215629998</c:v>
                </c:pt>
                <c:pt idx="12">
                  <c:v>5690.014632319999</c:v>
                </c:pt>
              </c:numCache>
            </c:numRef>
          </c:val>
        </c:ser>
        <c:axId val="24701330"/>
        <c:axId val="20985379"/>
      </c:barChart>
      <c:catAx>
        <c:axId val="24701330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800000"/>
                </a:solidFill>
              </a:defRPr>
            </a:pPr>
          </a:p>
        </c:txPr>
        <c:crossAx val="20985379"/>
        <c:crosses val="autoZero"/>
        <c:auto val="1"/>
        <c:lblOffset val="100"/>
        <c:noMultiLvlLbl val="0"/>
      </c:catAx>
      <c:valAx>
        <c:axId val="20985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0000"/>
                    </a:solidFill>
                  </a:rPr>
                  <a:t>Million of Namibia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800000"/>
                </a:solidFill>
              </a:defRPr>
            </a:pPr>
          </a:p>
        </c:txPr>
        <c:crossAx val="247013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38175"/>
          <a:ext cx="17335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12</xdr:col>
      <xdr:colOff>504825</xdr:colOff>
      <xdr:row>19</xdr:row>
      <xdr:rowOff>142875</xdr:rowOff>
    </xdr:to>
    <xdr:graphicFrame>
      <xdr:nvGraphicFramePr>
        <xdr:cNvPr id="1" name="Chart 133"/>
        <xdr:cNvGraphicFramePr/>
      </xdr:nvGraphicFramePr>
      <xdr:xfrm>
        <a:off x="619125" y="504825"/>
        <a:ext cx="73152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0</xdr:colOff>
      <xdr:row>28</xdr:row>
      <xdr:rowOff>9525</xdr:rowOff>
    </xdr:from>
    <xdr:ext cx="7296150" cy="3457575"/>
    <xdr:graphicFrame>
      <xdr:nvGraphicFramePr>
        <xdr:cNvPr id="2" name="Chart 134"/>
        <xdr:cNvGraphicFramePr/>
      </xdr:nvGraphicFramePr>
      <xdr:xfrm>
        <a:off x="619125" y="4457700"/>
        <a:ext cx="729615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30</xdr:row>
      <xdr:rowOff>38100</xdr:rowOff>
    </xdr:from>
    <xdr:to>
      <xdr:col>14</xdr:col>
      <xdr:colOff>600075</xdr:colOff>
      <xdr:row>50</xdr:row>
      <xdr:rowOff>104775</xdr:rowOff>
    </xdr:to>
    <xdr:graphicFrame>
      <xdr:nvGraphicFramePr>
        <xdr:cNvPr id="1" name="Chart 157"/>
        <xdr:cNvGraphicFramePr/>
      </xdr:nvGraphicFramePr>
      <xdr:xfrm>
        <a:off x="485775" y="5791200"/>
        <a:ext cx="80391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4</xdr:row>
      <xdr:rowOff>85725</xdr:rowOff>
    </xdr:from>
    <xdr:to>
      <xdr:col>15</xdr:col>
      <xdr:colOff>76200</xdr:colOff>
      <xdr:row>24</xdr:row>
      <xdr:rowOff>142875</xdr:rowOff>
    </xdr:to>
    <xdr:graphicFrame>
      <xdr:nvGraphicFramePr>
        <xdr:cNvPr id="2" name="Chart 158"/>
        <xdr:cNvGraphicFramePr/>
      </xdr:nvGraphicFramePr>
      <xdr:xfrm>
        <a:off x="400050" y="838200"/>
        <a:ext cx="82105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533400</xdr:colOff>
      <xdr:row>58</xdr:row>
      <xdr:rowOff>180975</xdr:rowOff>
    </xdr:from>
    <xdr:to>
      <xdr:col>14</xdr:col>
      <xdr:colOff>561975</xdr:colOff>
      <xdr:row>77</xdr:row>
      <xdr:rowOff>104775</xdr:rowOff>
    </xdr:to>
    <xdr:graphicFrame>
      <xdr:nvGraphicFramePr>
        <xdr:cNvPr id="3" name="Chart 159"/>
        <xdr:cNvGraphicFramePr/>
      </xdr:nvGraphicFramePr>
      <xdr:xfrm>
        <a:off x="533400" y="11287125"/>
        <a:ext cx="7953375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34</xdr:row>
      <xdr:rowOff>123825</xdr:rowOff>
    </xdr:from>
    <xdr:to>
      <xdr:col>14</xdr:col>
      <xdr:colOff>352425</xdr:colOff>
      <xdr:row>58</xdr:row>
      <xdr:rowOff>142875</xdr:rowOff>
    </xdr:to>
    <xdr:graphicFrame>
      <xdr:nvGraphicFramePr>
        <xdr:cNvPr id="1" name="Chart 9"/>
        <xdr:cNvGraphicFramePr/>
      </xdr:nvGraphicFramePr>
      <xdr:xfrm>
        <a:off x="904875" y="5705475"/>
        <a:ext cx="79533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4</xdr:row>
      <xdr:rowOff>114300</xdr:rowOff>
    </xdr:from>
    <xdr:to>
      <xdr:col>14</xdr:col>
      <xdr:colOff>295275</xdr:colOff>
      <xdr:row>31</xdr:row>
      <xdr:rowOff>85725</xdr:rowOff>
    </xdr:to>
    <xdr:graphicFrame>
      <xdr:nvGraphicFramePr>
        <xdr:cNvPr id="2" name="Chart 43"/>
        <xdr:cNvGraphicFramePr/>
      </xdr:nvGraphicFramePr>
      <xdr:xfrm>
        <a:off x="942975" y="800100"/>
        <a:ext cx="7858125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%20(Revised%20Data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Capital%20Market\NSX\Monthly%20Indices%20of%20NS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Selected%20Monthly%20Statistics\inflat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Money%20Market\Monthly%20Rates\Selected%20Interest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table ii.6"/>
      <sheetName val="M1 M2 Chart"/>
      <sheetName val="Int reser chart"/>
      <sheetName val=" PSC chart"/>
    </sheetNames>
    <sheetDataSet>
      <sheetData sheetId="7">
        <row r="6">
          <cell r="G6" t="str">
            <v>Bills '91 days</v>
          </cell>
          <cell r="H6" t="str">
            <v>BA Rate (1)</v>
          </cell>
          <cell r="I6" t="str">
            <v>Bonds (2)</v>
          </cell>
        </row>
        <row r="7">
          <cell r="E7" t="str">
            <v>Pr</v>
          </cell>
          <cell r="F7" t="str">
            <v>Br</v>
          </cell>
          <cell r="G7" t="str">
            <v>Tb</v>
          </cell>
          <cell r="H7" t="str">
            <v>BA </v>
          </cell>
          <cell r="I7" t="str">
            <v>GB</v>
          </cell>
        </row>
        <row r="8">
          <cell r="E8" t="str">
            <v>Prime rate</v>
          </cell>
          <cell r="F8" t="str">
            <v>Bank rate</v>
          </cell>
          <cell r="G8" t="str">
            <v>Treasury </v>
          </cell>
          <cell r="H8" t="str">
            <v>3-Months</v>
          </cell>
          <cell r="I8" t="str">
            <v>Government</v>
          </cell>
        </row>
        <row r="9">
          <cell r="D9" t="str">
            <v>Jan</v>
          </cell>
          <cell r="E9">
            <v>20</v>
          </cell>
          <cell r="F9">
            <v>20.5</v>
          </cell>
          <cell r="H9">
            <v>17.625</v>
          </cell>
          <cell r="I9">
            <v>16</v>
          </cell>
        </row>
        <row r="10">
          <cell r="D10" t="str">
            <v>Feb</v>
          </cell>
          <cell r="E10">
            <v>20</v>
          </cell>
          <cell r="F10">
            <v>20.5</v>
          </cell>
          <cell r="H10">
            <v>17.425</v>
          </cell>
          <cell r="I10">
            <v>15.58</v>
          </cell>
        </row>
        <row r="11">
          <cell r="D11" t="str">
            <v>Mar</v>
          </cell>
          <cell r="E11">
            <v>20</v>
          </cell>
          <cell r="F11">
            <v>19.5</v>
          </cell>
          <cell r="H11">
            <v>17.33</v>
          </cell>
          <cell r="I11">
            <v>15.64</v>
          </cell>
        </row>
        <row r="12">
          <cell r="D12" t="str">
            <v>Apr</v>
          </cell>
          <cell r="E12">
            <v>20</v>
          </cell>
          <cell r="F12">
            <v>19.5</v>
          </cell>
          <cell r="H12">
            <v>17.23</v>
          </cell>
          <cell r="I12">
            <v>15.83</v>
          </cell>
        </row>
        <row r="13">
          <cell r="D13" t="str">
            <v>May</v>
          </cell>
          <cell r="E13">
            <v>20</v>
          </cell>
          <cell r="F13">
            <v>19.5</v>
          </cell>
          <cell r="G13">
            <v>16.85</v>
          </cell>
          <cell r="H13">
            <v>16.95</v>
          </cell>
          <cell r="I13">
            <v>16.01</v>
          </cell>
        </row>
        <row r="14">
          <cell r="D14" t="str">
            <v>Jun</v>
          </cell>
          <cell r="E14">
            <v>20</v>
          </cell>
          <cell r="F14">
            <v>19.5</v>
          </cell>
          <cell r="G14">
            <v>16.75</v>
          </cell>
          <cell r="H14">
            <v>16.8125</v>
          </cell>
          <cell r="I14">
            <v>16.31</v>
          </cell>
        </row>
        <row r="15">
          <cell r="D15" t="str">
            <v>Jul</v>
          </cell>
          <cell r="E15">
            <v>20</v>
          </cell>
          <cell r="F15">
            <v>19.5</v>
          </cell>
          <cell r="G15">
            <v>16.72</v>
          </cell>
          <cell r="H15">
            <v>16.85</v>
          </cell>
          <cell r="I15">
            <v>16.43</v>
          </cell>
        </row>
        <row r="16">
          <cell r="D16" t="str">
            <v>Aug</v>
          </cell>
          <cell r="E16">
            <v>20</v>
          </cell>
          <cell r="F16">
            <v>19.5</v>
          </cell>
          <cell r="G16">
            <v>16.67</v>
          </cell>
          <cell r="H16">
            <v>16.78</v>
          </cell>
          <cell r="I16">
            <v>16.79</v>
          </cell>
        </row>
        <row r="17">
          <cell r="D17" t="str">
            <v>Sep</v>
          </cell>
          <cell r="E17">
            <v>20</v>
          </cell>
          <cell r="F17">
            <v>19.5</v>
          </cell>
          <cell r="G17">
            <v>16.61</v>
          </cell>
          <cell r="H17">
            <v>16.7375</v>
          </cell>
          <cell r="I17">
            <v>16.84</v>
          </cell>
        </row>
        <row r="18">
          <cell r="D18" t="str">
            <v>Oct</v>
          </cell>
          <cell r="E18">
            <v>20</v>
          </cell>
          <cell r="F18">
            <v>19.5</v>
          </cell>
          <cell r="G18">
            <v>16.55</v>
          </cell>
          <cell r="H18">
            <v>16.6875</v>
          </cell>
          <cell r="I18">
            <v>17.21</v>
          </cell>
        </row>
        <row r="19">
          <cell r="D19" t="str">
            <v>Nov</v>
          </cell>
          <cell r="E19">
            <v>20</v>
          </cell>
          <cell r="F19">
            <v>19.5</v>
          </cell>
          <cell r="G19">
            <v>16.48</v>
          </cell>
          <cell r="H19">
            <v>16.4</v>
          </cell>
          <cell r="I19">
            <v>16.83</v>
          </cell>
        </row>
        <row r="20">
          <cell r="D20" t="str">
            <v>Dec</v>
          </cell>
          <cell r="E20">
            <v>20</v>
          </cell>
          <cell r="F20">
            <v>19.5</v>
          </cell>
          <cell r="G20">
            <v>16.36</v>
          </cell>
          <cell r="H20">
            <v>16.13</v>
          </cell>
          <cell r="I20">
            <v>16.66</v>
          </cell>
        </row>
        <row r="21">
          <cell r="D21" t="str">
            <v>Jan</v>
          </cell>
          <cell r="E21">
            <v>20</v>
          </cell>
          <cell r="F21">
            <v>19.5</v>
          </cell>
          <cell r="G21">
            <v>16.18</v>
          </cell>
          <cell r="H21">
            <v>16.23</v>
          </cell>
          <cell r="I21">
            <v>16.65</v>
          </cell>
        </row>
        <row r="22">
          <cell r="D22" t="str">
            <v>Feb</v>
          </cell>
          <cell r="E22">
            <v>20</v>
          </cell>
          <cell r="F22">
            <v>19.5</v>
          </cell>
          <cell r="G22">
            <v>16.08</v>
          </cell>
          <cell r="H22">
            <v>15.9875</v>
          </cell>
          <cell r="I22">
            <v>16.86</v>
          </cell>
        </row>
        <row r="23">
          <cell r="D23" t="str">
            <v>Mar</v>
          </cell>
          <cell r="E23">
            <v>19</v>
          </cell>
          <cell r="F23">
            <v>18.5</v>
          </cell>
          <cell r="G23">
            <v>15.55</v>
          </cell>
          <cell r="H23">
            <v>15.75</v>
          </cell>
          <cell r="I23">
            <v>16.41</v>
          </cell>
        </row>
        <row r="24">
          <cell r="D24" t="str">
            <v>Apr</v>
          </cell>
          <cell r="E24">
            <v>19</v>
          </cell>
          <cell r="F24">
            <v>18.5</v>
          </cell>
          <cell r="G24">
            <v>15.28</v>
          </cell>
          <cell r="H24">
            <v>15.33</v>
          </cell>
          <cell r="I24">
            <v>16.26</v>
          </cell>
        </row>
        <row r="25">
          <cell r="D25" t="str">
            <v>May</v>
          </cell>
          <cell r="E25">
            <v>19</v>
          </cell>
          <cell r="F25">
            <v>18.5</v>
          </cell>
          <cell r="G25">
            <v>14.42</v>
          </cell>
          <cell r="H25">
            <v>14.78</v>
          </cell>
          <cell r="I25">
            <v>15.97</v>
          </cell>
        </row>
        <row r="26">
          <cell r="D26" t="str">
            <v>Jun</v>
          </cell>
          <cell r="E26">
            <v>19</v>
          </cell>
          <cell r="F26">
            <v>17.5</v>
          </cell>
          <cell r="G26">
            <v>13.96</v>
          </cell>
          <cell r="H26">
            <v>14.37</v>
          </cell>
          <cell r="I26">
            <v>15.98</v>
          </cell>
        </row>
        <row r="27">
          <cell r="D27" t="str">
            <v>Jul</v>
          </cell>
          <cell r="E27">
            <v>19</v>
          </cell>
          <cell r="F27">
            <v>17.5</v>
          </cell>
          <cell r="G27">
            <v>13.44</v>
          </cell>
          <cell r="H27">
            <v>13.55</v>
          </cell>
          <cell r="I27">
            <v>15.29</v>
          </cell>
        </row>
        <row r="28">
          <cell r="D28" t="str">
            <v>Aug</v>
          </cell>
          <cell r="E28">
            <v>18.5</v>
          </cell>
          <cell r="F28">
            <v>17.5</v>
          </cell>
          <cell r="G28">
            <v>12.29</v>
          </cell>
          <cell r="H28">
            <v>12.5</v>
          </cell>
          <cell r="I28">
            <v>14.38</v>
          </cell>
        </row>
        <row r="29">
          <cell r="D29" t="str">
            <v>Sep</v>
          </cell>
          <cell r="E29">
            <v>18.5</v>
          </cell>
          <cell r="F29">
            <v>17.5</v>
          </cell>
          <cell r="G29">
            <v>12.26</v>
          </cell>
          <cell r="H29">
            <v>12.5</v>
          </cell>
          <cell r="I29">
            <v>14.2</v>
          </cell>
        </row>
        <row r="30">
          <cell r="D30" t="str">
            <v>Oct</v>
          </cell>
          <cell r="E30">
            <v>18.5</v>
          </cell>
          <cell r="F30">
            <v>17.5</v>
          </cell>
          <cell r="G30">
            <v>12.21</v>
          </cell>
          <cell r="H30">
            <v>12.4</v>
          </cell>
          <cell r="I30">
            <v>13.86</v>
          </cell>
        </row>
        <row r="31">
          <cell r="D31" t="str">
            <v>Nov</v>
          </cell>
          <cell r="E31">
            <v>18.5</v>
          </cell>
          <cell r="F31">
            <v>16.5</v>
          </cell>
          <cell r="G31">
            <v>12.41</v>
          </cell>
          <cell r="H31">
            <v>12</v>
          </cell>
          <cell r="I31">
            <v>14.54</v>
          </cell>
        </row>
        <row r="32">
          <cell r="D32" t="str">
            <v>Dec</v>
          </cell>
          <cell r="E32">
            <v>17.5</v>
          </cell>
          <cell r="F32">
            <v>16.5</v>
          </cell>
          <cell r="G32">
            <v>12.46</v>
          </cell>
          <cell r="H32">
            <v>12.4</v>
          </cell>
          <cell r="I32">
            <v>14.9</v>
          </cell>
        </row>
        <row r="33">
          <cell r="D33" t="str">
            <v>Jan</v>
          </cell>
          <cell r="E33">
            <v>17.5</v>
          </cell>
          <cell r="F33">
            <v>16.5</v>
          </cell>
          <cell r="G33">
            <v>12.46</v>
          </cell>
          <cell r="H33">
            <v>12.26</v>
          </cell>
          <cell r="I33">
            <v>14.65</v>
          </cell>
        </row>
        <row r="34">
          <cell r="D34" t="str">
            <v>Feb</v>
          </cell>
          <cell r="E34">
            <v>17.5</v>
          </cell>
          <cell r="F34">
            <v>15.5</v>
          </cell>
          <cell r="G34">
            <v>11.89</v>
          </cell>
          <cell r="H34">
            <v>11.73</v>
          </cell>
          <cell r="I34">
            <v>14.36</v>
          </cell>
        </row>
        <row r="35">
          <cell r="D35" t="str">
            <v>Mar</v>
          </cell>
          <cell r="E35">
            <v>16.5</v>
          </cell>
          <cell r="F35">
            <v>15.5</v>
          </cell>
          <cell r="G35">
            <v>11.94</v>
          </cell>
          <cell r="H35">
            <v>11.86</v>
          </cell>
          <cell r="I35">
            <v>14.49</v>
          </cell>
        </row>
        <row r="36">
          <cell r="D36" t="str">
            <v>Apr</v>
          </cell>
          <cell r="E36">
            <v>16.5</v>
          </cell>
          <cell r="F36">
            <v>15.5</v>
          </cell>
          <cell r="G36">
            <v>12.58</v>
          </cell>
          <cell r="H36">
            <v>12.13</v>
          </cell>
          <cell r="I36">
            <v>15.03</v>
          </cell>
        </row>
        <row r="37">
          <cell r="D37" t="str">
            <v>May</v>
          </cell>
          <cell r="E37">
            <v>16.5</v>
          </cell>
          <cell r="F37">
            <v>15.5</v>
          </cell>
          <cell r="G37">
            <v>12.49</v>
          </cell>
          <cell r="H37">
            <v>12.09</v>
          </cell>
          <cell r="I37">
            <v>14.92</v>
          </cell>
        </row>
        <row r="38">
          <cell r="D38" t="str">
            <v>Jun</v>
          </cell>
          <cell r="E38">
            <v>16.5</v>
          </cell>
          <cell r="F38">
            <v>15.5</v>
          </cell>
          <cell r="G38">
            <v>12.53</v>
          </cell>
          <cell r="H38">
            <v>12.06</v>
          </cell>
          <cell r="I38">
            <v>14.7</v>
          </cell>
        </row>
        <row r="39">
          <cell r="D39" t="str">
            <v>Jul</v>
          </cell>
          <cell r="E39">
            <v>16.5</v>
          </cell>
          <cell r="F39">
            <v>15.5</v>
          </cell>
          <cell r="G39">
            <v>12.16</v>
          </cell>
          <cell r="H39">
            <v>11.91</v>
          </cell>
          <cell r="I39">
            <v>14.24</v>
          </cell>
        </row>
        <row r="40">
          <cell r="D40" t="str">
            <v>Aug</v>
          </cell>
          <cell r="E40">
            <v>16.5</v>
          </cell>
          <cell r="F40">
            <v>15.5</v>
          </cell>
          <cell r="G40">
            <v>12.4</v>
          </cell>
          <cell r="H40">
            <v>11.77</v>
          </cell>
          <cell r="I40">
            <v>13.85</v>
          </cell>
        </row>
        <row r="41">
          <cell r="D41" t="str">
            <v>Sep</v>
          </cell>
          <cell r="E41">
            <v>16.5</v>
          </cell>
          <cell r="F41">
            <v>15.5</v>
          </cell>
          <cell r="G41">
            <v>12.49</v>
          </cell>
          <cell r="H41">
            <v>11.74</v>
          </cell>
          <cell r="I41">
            <v>13.29</v>
          </cell>
        </row>
        <row r="42">
          <cell r="D42" t="str">
            <v>Oct</v>
          </cell>
          <cell r="E42">
            <v>16.5</v>
          </cell>
          <cell r="F42">
            <v>15.5</v>
          </cell>
          <cell r="G42">
            <v>12.18</v>
          </cell>
          <cell r="H42">
            <v>11.31</v>
          </cell>
          <cell r="I42">
            <v>13.07</v>
          </cell>
        </row>
        <row r="43">
          <cell r="D43" t="str">
            <v>Nov</v>
          </cell>
          <cell r="E43">
            <v>15.5</v>
          </cell>
          <cell r="F43">
            <v>14.5</v>
          </cell>
          <cell r="G43">
            <v>11.53</v>
          </cell>
          <cell r="H43">
            <v>10.22</v>
          </cell>
          <cell r="I43">
            <v>12.51</v>
          </cell>
        </row>
        <row r="44">
          <cell r="D44" t="str">
            <v>Dec</v>
          </cell>
          <cell r="E44">
            <v>15.5</v>
          </cell>
          <cell r="F44">
            <v>14.5</v>
          </cell>
          <cell r="G44">
            <v>11.26</v>
          </cell>
          <cell r="H44">
            <v>10.15</v>
          </cell>
          <cell r="I44">
            <v>12.2</v>
          </cell>
        </row>
        <row r="45">
          <cell r="D45" t="str">
            <v>Jan</v>
          </cell>
          <cell r="E45">
            <v>15.5</v>
          </cell>
          <cell r="F45">
            <v>14.5</v>
          </cell>
          <cell r="G45">
            <v>11.19</v>
          </cell>
          <cell r="H45">
            <v>11.12</v>
          </cell>
          <cell r="I45">
            <v>12.07</v>
          </cell>
        </row>
        <row r="46">
          <cell r="D46" t="str">
            <v>Feb</v>
          </cell>
          <cell r="E46">
            <v>15.5</v>
          </cell>
          <cell r="F46">
            <v>14.5</v>
          </cell>
          <cell r="G46">
            <v>11.18</v>
          </cell>
          <cell r="H46">
            <v>11.15</v>
          </cell>
          <cell r="I46">
            <v>12.56</v>
          </cell>
        </row>
        <row r="47">
          <cell r="D47" t="str">
            <v>Mar</v>
          </cell>
          <cell r="E47">
            <v>15.5</v>
          </cell>
          <cell r="F47">
            <v>14.5</v>
          </cell>
          <cell r="G47">
            <v>10.97</v>
          </cell>
          <cell r="H47">
            <v>11.15</v>
          </cell>
          <cell r="I47">
            <v>12.73</v>
          </cell>
        </row>
        <row r="48">
          <cell r="D48" t="str">
            <v>Apr</v>
          </cell>
          <cell r="E48">
            <v>15.5</v>
          </cell>
          <cell r="F48">
            <v>14.5</v>
          </cell>
          <cell r="G48">
            <v>10.9</v>
          </cell>
          <cell r="H48">
            <v>10.3</v>
          </cell>
          <cell r="I48">
            <v>12.97</v>
          </cell>
        </row>
        <row r="49">
          <cell r="D49" t="str">
            <v>May</v>
          </cell>
          <cell r="E49">
            <v>15.5</v>
          </cell>
          <cell r="F49">
            <v>14.5</v>
          </cell>
          <cell r="G49">
            <v>10.97</v>
          </cell>
          <cell r="H49">
            <v>11.29</v>
          </cell>
          <cell r="I49">
            <v>13.02</v>
          </cell>
        </row>
        <row r="50">
          <cell r="D50" t="str">
            <v>Jun</v>
          </cell>
          <cell r="E50">
            <v>15.5</v>
          </cell>
          <cell r="F50">
            <v>14.5</v>
          </cell>
          <cell r="G50">
            <v>10.95</v>
          </cell>
          <cell r="H50">
            <v>11.72</v>
          </cell>
          <cell r="I50">
            <v>14.11</v>
          </cell>
        </row>
        <row r="51">
          <cell r="D51" t="str">
            <v>Jul</v>
          </cell>
          <cell r="E51">
            <v>15.5</v>
          </cell>
          <cell r="F51">
            <v>14.5</v>
          </cell>
          <cell r="G51">
            <v>10.95</v>
          </cell>
          <cell r="H51">
            <v>12.52</v>
          </cell>
          <cell r="I51">
            <v>14.83</v>
          </cell>
        </row>
        <row r="52">
          <cell r="D52" t="str">
            <v>Aug</v>
          </cell>
          <cell r="E52">
            <v>15.5</v>
          </cell>
          <cell r="F52">
            <v>14.5</v>
          </cell>
          <cell r="G52">
            <v>10.95</v>
          </cell>
          <cell r="H52">
            <v>11.6</v>
          </cell>
          <cell r="I52">
            <v>15.62</v>
          </cell>
        </row>
        <row r="53">
          <cell r="D53" t="str">
            <v>Sep</v>
          </cell>
          <cell r="E53">
            <v>15.5</v>
          </cell>
          <cell r="F53">
            <v>15.5</v>
          </cell>
          <cell r="G53">
            <v>10.99</v>
          </cell>
          <cell r="H53">
            <v>12.07</v>
          </cell>
          <cell r="I53">
            <v>16.59</v>
          </cell>
        </row>
        <row r="54">
          <cell r="D54" t="str">
            <v>Oct</v>
          </cell>
          <cell r="E54">
            <v>16.5</v>
          </cell>
          <cell r="F54">
            <v>15.5</v>
          </cell>
          <cell r="G54">
            <v>11.97</v>
          </cell>
          <cell r="H54">
            <v>11.96</v>
          </cell>
          <cell r="I54">
            <v>16.91</v>
          </cell>
        </row>
        <row r="55">
          <cell r="D55" t="str">
            <v>Nov</v>
          </cell>
          <cell r="E55">
            <v>16.5</v>
          </cell>
          <cell r="F55">
            <v>15.5</v>
          </cell>
          <cell r="G55">
            <v>12.32</v>
          </cell>
          <cell r="H55">
            <v>12.27</v>
          </cell>
          <cell r="I55">
            <v>16.94</v>
          </cell>
        </row>
        <row r="56">
          <cell r="D56" t="str">
            <v>Dec</v>
          </cell>
          <cell r="E56">
            <v>16.5</v>
          </cell>
          <cell r="F56">
            <v>15.5</v>
          </cell>
          <cell r="G56">
            <v>12.435</v>
          </cell>
          <cell r="H56">
            <v>12.43</v>
          </cell>
          <cell r="I56">
            <v>16.8</v>
          </cell>
        </row>
        <row r="57">
          <cell r="D57" t="str">
            <v>Jan</v>
          </cell>
          <cell r="E57">
            <v>16.5</v>
          </cell>
          <cell r="F57">
            <v>15.5</v>
          </cell>
          <cell r="G57">
            <v>12.864</v>
          </cell>
          <cell r="H57">
            <v>13.635</v>
          </cell>
          <cell r="I57">
            <v>17.02</v>
          </cell>
        </row>
        <row r="58">
          <cell r="D58" t="str">
            <v>Feb</v>
          </cell>
          <cell r="E58">
            <v>16.5</v>
          </cell>
          <cell r="F58">
            <v>16.5</v>
          </cell>
          <cell r="G58">
            <v>13.424</v>
          </cell>
          <cell r="H58">
            <v>13.055</v>
          </cell>
          <cell r="I58">
            <v>16.82</v>
          </cell>
        </row>
        <row r="59">
          <cell r="D59" t="str">
            <v>Mar</v>
          </cell>
          <cell r="E59">
            <v>18</v>
          </cell>
          <cell r="F59">
            <v>16.5</v>
          </cell>
          <cell r="G59">
            <v>13.71</v>
          </cell>
          <cell r="H59">
            <v>13.33</v>
          </cell>
          <cell r="I59">
            <v>16.72</v>
          </cell>
        </row>
        <row r="60">
          <cell r="D60" t="str">
            <v>Apr</v>
          </cell>
          <cell r="E60">
            <v>18</v>
          </cell>
          <cell r="F60">
            <v>16.5</v>
          </cell>
          <cell r="G60">
            <v>13.71</v>
          </cell>
          <cell r="H60">
            <v>13.645</v>
          </cell>
          <cell r="I60">
            <v>16.82</v>
          </cell>
        </row>
        <row r="61">
          <cell r="D61" t="str">
            <v>May</v>
          </cell>
          <cell r="E61">
            <v>18</v>
          </cell>
          <cell r="F61">
            <v>16.5</v>
          </cell>
          <cell r="G61">
            <v>14.188</v>
          </cell>
          <cell r="H61">
            <v>14.135</v>
          </cell>
          <cell r="I61">
            <v>16.95</v>
          </cell>
        </row>
        <row r="62">
          <cell r="D62" t="str">
            <v>Jun</v>
          </cell>
          <cell r="E62">
            <v>18</v>
          </cell>
          <cell r="F62">
            <v>16.5</v>
          </cell>
          <cell r="G62">
            <v>14.192</v>
          </cell>
          <cell r="H62">
            <v>14.48</v>
          </cell>
          <cell r="I62">
            <v>16.78</v>
          </cell>
        </row>
        <row r="63">
          <cell r="D63" t="str">
            <v>Jul</v>
          </cell>
          <cell r="E63">
            <v>19</v>
          </cell>
          <cell r="F63">
            <v>17.5</v>
          </cell>
          <cell r="G63">
            <v>14.192</v>
          </cell>
          <cell r="H63">
            <v>14.82</v>
          </cell>
          <cell r="I63">
            <v>16.62</v>
          </cell>
        </row>
        <row r="64">
          <cell r="D64" t="str">
            <v>Aug</v>
          </cell>
          <cell r="E64">
            <v>19</v>
          </cell>
          <cell r="F64">
            <v>17.5</v>
          </cell>
          <cell r="G64">
            <v>14.201</v>
          </cell>
          <cell r="H64">
            <v>14.78</v>
          </cell>
          <cell r="I64">
            <v>15.96</v>
          </cell>
        </row>
        <row r="65">
          <cell r="D65" t="str">
            <v>Sep</v>
          </cell>
          <cell r="E65">
            <v>19</v>
          </cell>
          <cell r="F65">
            <v>17.5</v>
          </cell>
          <cell r="G65">
            <v>14.201</v>
          </cell>
          <cell r="H65">
            <v>15.155</v>
          </cell>
          <cell r="I65">
            <v>15.49</v>
          </cell>
        </row>
        <row r="66">
          <cell r="D66" t="str">
            <v>Oct</v>
          </cell>
          <cell r="E66">
            <v>19</v>
          </cell>
          <cell r="F66">
            <v>17.5</v>
          </cell>
          <cell r="G66">
            <v>14.103</v>
          </cell>
          <cell r="H66">
            <v>15.105</v>
          </cell>
          <cell r="I66">
            <v>15.15</v>
          </cell>
        </row>
        <row r="67">
          <cell r="D67" t="str">
            <v>Nov</v>
          </cell>
          <cell r="E67">
            <v>19</v>
          </cell>
          <cell r="F67">
            <v>17.5</v>
          </cell>
          <cell r="G67">
            <v>14.099</v>
          </cell>
          <cell r="H67">
            <v>14.945</v>
          </cell>
          <cell r="I67">
            <v>14.39</v>
          </cell>
        </row>
        <row r="68">
          <cell r="D68" t="str">
            <v>Dec</v>
          </cell>
          <cell r="E68">
            <v>19</v>
          </cell>
          <cell r="F68">
            <v>17.5</v>
          </cell>
          <cell r="G68">
            <v>14.099</v>
          </cell>
          <cell r="H68">
            <v>15.11</v>
          </cell>
          <cell r="I68">
            <v>14.56</v>
          </cell>
        </row>
        <row r="69">
          <cell r="D69" t="str">
            <v>Jan</v>
          </cell>
          <cell r="E69">
            <v>19</v>
          </cell>
          <cell r="F69">
            <v>17.5</v>
          </cell>
          <cell r="G69">
            <v>14.005</v>
          </cell>
          <cell r="H69">
            <v>15.29</v>
          </cell>
          <cell r="I69">
            <v>13.77</v>
          </cell>
        </row>
        <row r="70">
          <cell r="D70" t="str">
            <v>Feb</v>
          </cell>
          <cell r="E70">
            <v>19</v>
          </cell>
          <cell r="F70">
            <v>17.5</v>
          </cell>
          <cell r="G70">
            <v>13.981</v>
          </cell>
          <cell r="H70">
            <v>15.34</v>
          </cell>
          <cell r="I70">
            <v>14.1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</sheetNames>
    <sheetDataSet>
      <sheetData sheetId="7">
        <row r="3">
          <cell r="B3" t="str">
            <v>M2</v>
          </cell>
        </row>
        <row r="4">
          <cell r="B4" t="str">
            <v>M1</v>
          </cell>
        </row>
        <row r="7">
          <cell r="AN7">
            <v>38807</v>
          </cell>
          <cell r="AO7">
            <v>38837</v>
          </cell>
          <cell r="AP7">
            <v>38868</v>
          </cell>
          <cell r="AQ7">
            <v>38898</v>
          </cell>
          <cell r="AR7">
            <v>38929</v>
          </cell>
          <cell r="AS7">
            <v>38960</v>
          </cell>
          <cell r="AT7">
            <v>38990</v>
          </cell>
          <cell r="AU7">
            <v>39021</v>
          </cell>
          <cell r="AV7">
            <v>39051</v>
          </cell>
          <cell r="AW7">
            <v>39082</v>
          </cell>
          <cell r="AX7">
            <v>39113</v>
          </cell>
          <cell r="AY7">
            <v>39141</v>
          </cell>
          <cell r="AZ7">
            <v>39172</v>
          </cell>
        </row>
        <row r="8">
          <cell r="AN8">
            <v>7.30664569346007</v>
          </cell>
          <cell r="AO8">
            <v>2.018408013252184</v>
          </cell>
          <cell r="AP8">
            <v>3.053687786141357</v>
          </cell>
          <cell r="AQ8">
            <v>4.218696831444213</v>
          </cell>
          <cell r="AR8">
            <v>2.064092169580869</v>
          </cell>
          <cell r="AS8">
            <v>-1.6380485020217113</v>
          </cell>
          <cell r="AT8">
            <v>4.277929218815961</v>
          </cell>
          <cell r="AU8">
            <v>3.375699863912038</v>
          </cell>
          <cell r="AV8">
            <v>1.7061921582027462</v>
          </cell>
          <cell r="AW8">
            <v>-0.34170916060395856</v>
          </cell>
          <cell r="AX8">
            <v>3.1247813249456087</v>
          </cell>
          <cell r="AY8">
            <v>-0.8175012350289527</v>
          </cell>
          <cell r="AZ8">
            <v>-2.0163592435092164</v>
          </cell>
        </row>
        <row r="9">
          <cell r="AN9">
            <v>9.25840878158208</v>
          </cell>
          <cell r="AO9">
            <v>0.06528293651520134</v>
          </cell>
          <cell r="AP9">
            <v>4.073994220362538</v>
          </cell>
          <cell r="AQ9">
            <v>1.5601745047783908</v>
          </cell>
          <cell r="AR9">
            <v>3.1219530629032963</v>
          </cell>
          <cell r="AS9">
            <v>-1.2778560719822774</v>
          </cell>
          <cell r="AT9">
            <v>4.381616536762638</v>
          </cell>
          <cell r="AU9">
            <v>11.541825685977763</v>
          </cell>
          <cell r="AV9">
            <v>-0.570174384078555</v>
          </cell>
          <cell r="AW9">
            <v>-3.8684085489309523</v>
          </cell>
          <cell r="AX9">
            <v>6.0581762262908185</v>
          </cell>
          <cell r="AY9">
            <v>0.8055996711286546</v>
          </cell>
          <cell r="AZ9">
            <v>1.2216558177303205</v>
          </cell>
        </row>
      </sheetData>
      <sheetData sheetId="8">
        <row r="2">
          <cell r="AO2">
            <v>38807</v>
          </cell>
          <cell r="AP2">
            <v>38837</v>
          </cell>
          <cell r="AQ2">
            <v>38868</v>
          </cell>
          <cell r="AR2">
            <v>38898</v>
          </cell>
          <cell r="AS2">
            <v>38929</v>
          </cell>
          <cell r="AT2">
            <v>38960</v>
          </cell>
          <cell r="AU2">
            <v>38990</v>
          </cell>
          <cell r="AV2">
            <v>39021</v>
          </cell>
          <cell r="AW2">
            <v>39051</v>
          </cell>
          <cell r="AX2">
            <v>39082</v>
          </cell>
          <cell r="AY2">
            <v>39113</v>
          </cell>
          <cell r="AZ2">
            <v>39141</v>
          </cell>
          <cell r="BA2">
            <v>39172</v>
          </cell>
        </row>
        <row r="3">
          <cell r="AO3">
            <v>2457.74191965</v>
          </cell>
          <cell r="AP3">
            <v>3129.66725862</v>
          </cell>
          <cell r="AQ3">
            <v>2973.0466378130004</v>
          </cell>
          <cell r="AR3">
            <v>2677.9226340200003</v>
          </cell>
          <cell r="AS3">
            <v>3313.1347334800002</v>
          </cell>
          <cell r="AT3">
            <v>2760.7403289100002</v>
          </cell>
          <cell r="AU3">
            <v>3119.24184594</v>
          </cell>
          <cell r="AV3">
            <v>4104.408667917</v>
          </cell>
          <cell r="AW3">
            <v>3495.223781143</v>
          </cell>
          <cell r="AX3">
            <v>3164.29667116</v>
          </cell>
          <cell r="AY3">
            <v>4865.564786686</v>
          </cell>
          <cell r="AZ3">
            <v>4466.368215629998</v>
          </cell>
          <cell r="BA3">
            <v>5690.014632319999</v>
          </cell>
        </row>
      </sheetData>
      <sheetData sheetId="9">
        <row r="10">
          <cell r="AM10">
            <v>38807</v>
          </cell>
          <cell r="AN10">
            <v>38837</v>
          </cell>
          <cell r="AO10">
            <v>38868</v>
          </cell>
          <cell r="AP10">
            <v>38898</v>
          </cell>
          <cell r="AQ10">
            <v>38929</v>
          </cell>
          <cell r="AR10">
            <v>38960</v>
          </cell>
          <cell r="AS10">
            <v>38990</v>
          </cell>
          <cell r="AT10">
            <v>39021</v>
          </cell>
          <cell r="AU10">
            <v>39051</v>
          </cell>
          <cell r="AV10">
            <v>39082</v>
          </cell>
          <cell r="AW10">
            <v>39113</v>
          </cell>
          <cell r="AX10">
            <v>39141</v>
          </cell>
          <cell r="AY10">
            <v>39172</v>
          </cell>
        </row>
        <row r="11">
          <cell r="B11" t="str">
            <v>Dom claims</v>
          </cell>
          <cell r="AM11">
            <v>0.8100890367547707</v>
          </cell>
          <cell r="AN11">
            <v>-2.739376001603576</v>
          </cell>
          <cell r="AO11">
            <v>4.374669762710496</v>
          </cell>
          <cell r="AP11">
            <v>2.6579112339420976</v>
          </cell>
          <cell r="AQ11">
            <v>-1.7217054446794489</v>
          </cell>
          <cell r="AR11">
            <v>2.56009021400702</v>
          </cell>
          <cell r="AS11">
            <v>0.20969565247536456</v>
          </cell>
          <cell r="AT11">
            <v>-1.5314771320431253</v>
          </cell>
          <cell r="AU11">
            <v>2.9984069201778913</v>
          </cell>
          <cell r="AV11">
            <v>0.2131848422549674</v>
          </cell>
          <cell r="AW11">
            <v>-6.01361231956756</v>
          </cell>
          <cell r="AX11">
            <v>3.468989134525586</v>
          </cell>
          <cell r="AY11">
            <v>-1.1060404066356289</v>
          </cell>
        </row>
        <row r="12">
          <cell r="B12" t="str">
            <v>Other Sectors Claims</v>
          </cell>
          <cell r="AM12">
            <v>-0.23208471129762012</v>
          </cell>
          <cell r="AN12">
            <v>1.9381062631188901</v>
          </cell>
          <cell r="AO12">
            <v>1.673006597960738</v>
          </cell>
          <cell r="AP12">
            <v>0.5301595046702494</v>
          </cell>
          <cell r="AQ12">
            <v>2.723141408263861</v>
          </cell>
          <cell r="AR12">
            <v>0.25593587875896684</v>
          </cell>
          <cell r="AS12">
            <v>0.057520487008683195</v>
          </cell>
          <cell r="AT12">
            <v>1.4821953880777343</v>
          </cell>
          <cell r="AU12">
            <v>0.15550027153967988</v>
          </cell>
          <cell r="AV12">
            <v>0.6583832117324644</v>
          </cell>
          <cell r="AW12">
            <v>2.5491633077906704</v>
          </cell>
          <cell r="AX12">
            <v>1.43400578490035</v>
          </cell>
          <cell r="AY12">
            <v>0.775029504938087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hly indices"/>
    </sheetNames>
    <sheetDataSet>
      <sheetData sheetId="0">
        <row r="2">
          <cell r="D2" t="str">
            <v>NSX Local index (RHS)</v>
          </cell>
        </row>
        <row r="125">
          <cell r="B125">
            <v>38777</v>
          </cell>
          <cell r="C125">
            <v>622</v>
          </cell>
          <cell r="D125">
            <v>77.02</v>
          </cell>
        </row>
        <row r="126">
          <cell r="B126">
            <v>38808</v>
          </cell>
          <cell r="C126">
            <v>655</v>
          </cell>
          <cell r="D126">
            <v>79</v>
          </cell>
        </row>
        <row r="127">
          <cell r="B127">
            <v>38838</v>
          </cell>
          <cell r="C127">
            <v>682</v>
          </cell>
          <cell r="D127">
            <v>79</v>
          </cell>
        </row>
        <row r="128">
          <cell r="B128">
            <v>38869</v>
          </cell>
          <cell r="C128">
            <v>665.85</v>
          </cell>
          <cell r="D128">
            <v>80.95</v>
          </cell>
        </row>
        <row r="129">
          <cell r="B129">
            <v>38899</v>
          </cell>
          <cell r="C129">
            <v>688.72</v>
          </cell>
          <cell r="D129">
            <v>83.73</v>
          </cell>
        </row>
        <row r="130">
          <cell r="B130">
            <v>38960</v>
          </cell>
          <cell r="C130">
            <v>727.36</v>
          </cell>
          <cell r="D130">
            <v>82.05</v>
          </cell>
        </row>
        <row r="131">
          <cell r="B131">
            <v>38990</v>
          </cell>
          <cell r="C131">
            <v>754.36</v>
          </cell>
          <cell r="D131">
            <v>82.05</v>
          </cell>
        </row>
        <row r="132">
          <cell r="B132">
            <v>39021</v>
          </cell>
          <cell r="C132">
            <v>790.35</v>
          </cell>
          <cell r="D132">
            <v>86.01</v>
          </cell>
        </row>
        <row r="133">
          <cell r="B133">
            <v>39051</v>
          </cell>
          <cell r="C133">
            <v>792.6</v>
          </cell>
          <cell r="D133">
            <v>88.1</v>
          </cell>
        </row>
        <row r="134">
          <cell r="B134">
            <v>39082</v>
          </cell>
          <cell r="C134">
            <v>828</v>
          </cell>
          <cell r="D134">
            <v>91</v>
          </cell>
        </row>
        <row r="135">
          <cell r="B135">
            <v>39113</v>
          </cell>
          <cell r="C135">
            <v>838.25</v>
          </cell>
          <cell r="D135">
            <v>92.2</v>
          </cell>
        </row>
        <row r="136">
          <cell r="B136">
            <v>39141</v>
          </cell>
          <cell r="C136">
            <v>852.78</v>
          </cell>
          <cell r="D136">
            <v>94.25</v>
          </cell>
        </row>
        <row r="137">
          <cell r="B137">
            <v>39172</v>
          </cell>
          <cell r="C137">
            <v>911.26</v>
          </cell>
          <cell r="D137">
            <v>101.61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Old"/>
      <sheetName val="Inflation CPIX -NCPI"/>
      <sheetName val="Sheet2"/>
    </sheetNames>
    <sheetDataSet>
      <sheetData sheetId="1">
        <row r="5">
          <cell r="C5" t="str">
            <v>RSA CPIX</v>
          </cell>
          <cell r="D5" t="str">
            <v>NCPI</v>
          </cell>
        </row>
        <row r="19">
          <cell r="B19">
            <v>38807</v>
          </cell>
          <cell r="C19">
            <v>3.8</v>
          </cell>
          <cell r="D19">
            <v>4.6</v>
          </cell>
        </row>
        <row r="20">
          <cell r="B20">
            <v>38837</v>
          </cell>
          <cell r="C20">
            <v>3.7</v>
          </cell>
          <cell r="D20">
            <v>4.4</v>
          </cell>
        </row>
        <row r="21">
          <cell r="B21">
            <v>38868</v>
          </cell>
          <cell r="C21">
            <v>4.1</v>
          </cell>
          <cell r="D21">
            <v>5.1</v>
          </cell>
        </row>
        <row r="22">
          <cell r="B22">
            <v>38898</v>
          </cell>
          <cell r="C22">
            <v>4.8</v>
          </cell>
          <cell r="D22">
            <v>5.3</v>
          </cell>
        </row>
        <row r="23">
          <cell r="B23">
            <v>38929</v>
          </cell>
          <cell r="C23">
            <v>4.9</v>
          </cell>
          <cell r="D23">
            <v>5.1</v>
          </cell>
        </row>
        <row r="24">
          <cell r="B24">
            <v>38960</v>
          </cell>
          <cell r="C24">
            <v>5</v>
          </cell>
          <cell r="D24">
            <v>5.4</v>
          </cell>
        </row>
        <row r="25">
          <cell r="B25">
            <v>38990</v>
          </cell>
          <cell r="C25">
            <v>5.1</v>
          </cell>
          <cell r="D25">
            <v>5.5</v>
          </cell>
        </row>
        <row r="26">
          <cell r="B26">
            <v>39021</v>
          </cell>
          <cell r="C26">
            <v>5</v>
          </cell>
          <cell r="D26">
            <v>5.8</v>
          </cell>
        </row>
        <row r="27">
          <cell r="B27">
            <v>39051</v>
          </cell>
          <cell r="C27">
            <v>5</v>
          </cell>
          <cell r="D27">
            <v>6.1</v>
          </cell>
        </row>
        <row r="28">
          <cell r="B28">
            <v>39082</v>
          </cell>
          <cell r="C28">
            <v>5</v>
          </cell>
          <cell r="D28">
            <v>6.1</v>
          </cell>
        </row>
        <row r="29">
          <cell r="B29">
            <v>39113</v>
          </cell>
          <cell r="C29">
            <v>5.3</v>
          </cell>
          <cell r="D29">
            <v>6</v>
          </cell>
        </row>
        <row r="30">
          <cell r="B30">
            <v>39141</v>
          </cell>
          <cell r="C30">
            <v>4.9</v>
          </cell>
          <cell r="D30">
            <v>6</v>
          </cell>
        </row>
        <row r="31">
          <cell r="B31">
            <v>39172</v>
          </cell>
          <cell r="C31">
            <v>5.5</v>
          </cell>
          <cell r="D31">
            <v>6.3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K5" t="str">
            <v>Deposit </v>
          </cell>
          <cell r="L5" t="str">
            <v>Lending </v>
          </cell>
        </row>
        <row r="6">
          <cell r="K6" t="str">
            <v>Rates </v>
          </cell>
          <cell r="L6" t="str">
            <v>Rates </v>
          </cell>
        </row>
        <row r="191">
          <cell r="D191">
            <v>38778</v>
          </cell>
          <cell r="F191">
            <v>7</v>
          </cell>
          <cell r="K191">
            <v>6.11</v>
          </cell>
          <cell r="L191">
            <v>10.78</v>
          </cell>
        </row>
        <row r="192">
          <cell r="D192">
            <v>38809</v>
          </cell>
          <cell r="F192">
            <v>7</v>
          </cell>
          <cell r="K192">
            <v>6.31</v>
          </cell>
          <cell r="L192">
            <v>10.58</v>
          </cell>
        </row>
        <row r="193">
          <cell r="D193">
            <v>38839</v>
          </cell>
          <cell r="F193">
            <v>7</v>
          </cell>
          <cell r="K193">
            <v>6.13</v>
          </cell>
          <cell r="L193">
            <v>10.8</v>
          </cell>
        </row>
        <row r="194">
          <cell r="D194">
            <v>38870</v>
          </cell>
          <cell r="F194">
            <v>7.5</v>
          </cell>
          <cell r="K194">
            <v>6.24</v>
          </cell>
          <cell r="L194">
            <v>10.61</v>
          </cell>
        </row>
        <row r="195">
          <cell r="D195">
            <v>38900</v>
          </cell>
          <cell r="F195">
            <v>7.5</v>
          </cell>
          <cell r="K195">
            <v>6.18</v>
          </cell>
          <cell r="L195">
            <v>10.93</v>
          </cell>
        </row>
        <row r="196">
          <cell r="D196">
            <v>38931</v>
          </cell>
          <cell r="F196">
            <v>8</v>
          </cell>
          <cell r="K196">
            <v>6.34</v>
          </cell>
          <cell r="L196">
            <v>11.01</v>
          </cell>
        </row>
        <row r="197">
          <cell r="D197">
            <v>38962</v>
          </cell>
          <cell r="F197">
            <v>8</v>
          </cell>
          <cell r="K197">
            <v>6.22</v>
          </cell>
          <cell r="L197">
            <v>11.71</v>
          </cell>
        </row>
        <row r="198">
          <cell r="D198">
            <v>38992</v>
          </cell>
          <cell r="F198">
            <v>8.5</v>
          </cell>
          <cell r="K198">
            <v>6.37</v>
          </cell>
          <cell r="L198">
            <v>11.97</v>
          </cell>
        </row>
        <row r="199">
          <cell r="D199">
            <v>39023</v>
          </cell>
          <cell r="F199">
            <v>8.5</v>
          </cell>
          <cell r="K199">
            <v>6.64</v>
          </cell>
          <cell r="L199">
            <v>12.2</v>
          </cell>
        </row>
        <row r="200">
          <cell r="D200">
            <v>39053</v>
          </cell>
          <cell r="F200">
            <v>9</v>
          </cell>
          <cell r="K200">
            <v>6.85</v>
          </cell>
          <cell r="L200">
            <v>12.43</v>
          </cell>
        </row>
        <row r="201">
          <cell r="D201">
            <v>39084</v>
          </cell>
          <cell r="F201">
            <v>9</v>
          </cell>
          <cell r="K201">
            <v>6.98</v>
          </cell>
          <cell r="L201">
            <v>12.63</v>
          </cell>
        </row>
        <row r="202">
          <cell r="D202">
            <v>39115</v>
          </cell>
          <cell r="F202">
            <v>9</v>
          </cell>
          <cell r="K202">
            <v>7.38</v>
          </cell>
          <cell r="L202">
            <v>12.32</v>
          </cell>
        </row>
        <row r="203">
          <cell r="D203">
            <v>39143</v>
          </cell>
          <cell r="F203">
            <v>9</v>
          </cell>
          <cell r="K203">
            <v>7.22</v>
          </cell>
          <cell r="L203">
            <v>11.9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1">
      <selection activeCell="M8" sqref="M8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147</v>
      </c>
    </row>
    <row r="2" ht="37.5">
      <c r="A2" s="33"/>
    </row>
    <row r="3" ht="37.5">
      <c r="A3" s="33"/>
    </row>
    <row r="4" ht="33">
      <c r="A4" s="34"/>
    </row>
    <row r="5" ht="37.5">
      <c r="A5" s="33"/>
    </row>
    <row r="6" ht="33">
      <c r="A6" s="34"/>
    </row>
    <row r="7" ht="37.5">
      <c r="A7" s="35"/>
    </row>
    <row r="8" ht="37.5">
      <c r="A8" s="35"/>
    </row>
    <row r="9" ht="33">
      <c r="A9" s="180"/>
    </row>
    <row r="11" ht="40.5">
      <c r="A11" s="36"/>
    </row>
    <row r="12" ht="40.5">
      <c r="A12" s="36"/>
    </row>
    <row r="13" ht="40.5">
      <c r="A13" s="36" t="s">
        <v>49</v>
      </c>
    </row>
    <row r="14" ht="40.5">
      <c r="A14" s="36"/>
    </row>
    <row r="15" ht="40.5">
      <c r="A15" s="36" t="s">
        <v>50</v>
      </c>
    </row>
    <row r="16" ht="40.5">
      <c r="A16" s="36"/>
    </row>
    <row r="17" ht="40.5">
      <c r="A17" s="36" t="s">
        <v>51</v>
      </c>
    </row>
    <row r="18" ht="40.5">
      <c r="A18" s="36"/>
    </row>
    <row r="19" ht="40.5">
      <c r="A19" s="38">
        <v>39172</v>
      </c>
    </row>
    <row r="20" ht="40.5">
      <c r="A20" s="37"/>
    </row>
  </sheetData>
  <sheetProtection/>
  <printOptions/>
  <pageMargins left="0.75" right="0.75" top="1" bottom="1" header="0.5" footer="0.5"/>
  <pageSetup fitToHeight="1" fitToWidth="1" horizontalDpi="1200" verticalDpi="12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I53"/>
  <sheetViews>
    <sheetView zoomScalePageLayoutView="0" workbookViewId="0" topLeftCell="A4">
      <selection activeCell="B2" sqref="B2:F53"/>
    </sheetView>
  </sheetViews>
  <sheetFormatPr defaultColWidth="9.140625" defaultRowHeight="12"/>
  <cols>
    <col min="2" max="2" width="48.00390625" style="0" customWidth="1"/>
    <col min="3" max="3" width="9.7109375" style="0" customWidth="1"/>
    <col min="4" max="4" width="11.140625" style="0" customWidth="1"/>
    <col min="5" max="5" width="11.8515625" style="0" customWidth="1"/>
    <col min="6" max="6" width="13.421875" style="0" customWidth="1"/>
  </cols>
  <sheetData>
    <row r="1" ht="12" thickBot="1"/>
    <row r="2" spans="2:6" ht="11.25">
      <c r="B2" s="188" t="s">
        <v>115</v>
      </c>
      <c r="C2" s="189"/>
      <c r="D2" s="189"/>
      <c r="E2" s="189"/>
      <c r="F2" s="189"/>
    </row>
    <row r="3" spans="2:6" ht="11.25">
      <c r="B3" s="49"/>
      <c r="C3" s="28"/>
      <c r="D3" s="28"/>
      <c r="E3" s="95"/>
      <c r="F3" s="95" t="s">
        <v>111</v>
      </c>
    </row>
    <row r="4" spans="2:6" ht="11.25">
      <c r="B4" s="50"/>
      <c r="C4" s="16">
        <v>39141</v>
      </c>
      <c r="D4" s="16">
        <v>39172</v>
      </c>
      <c r="E4" s="172" t="s">
        <v>46</v>
      </c>
      <c r="F4" s="172" t="s">
        <v>46</v>
      </c>
    </row>
    <row r="5" spans="2:6" ht="11.25">
      <c r="B5" s="30"/>
      <c r="C5" s="43"/>
      <c r="D5" s="43"/>
      <c r="E5" s="44"/>
      <c r="F5" s="44"/>
    </row>
    <row r="6" spans="2:9" ht="11.25">
      <c r="B6" s="51" t="s">
        <v>1</v>
      </c>
      <c r="C6" s="97">
        <v>6058.098584029998</v>
      </c>
      <c r="D6" s="97">
        <v>6888.471109660561</v>
      </c>
      <c r="E6" s="97">
        <v>830.3725256305624</v>
      </c>
      <c r="F6" s="97">
        <v>13.706817644393269</v>
      </c>
      <c r="I6" s="91"/>
    </row>
    <row r="7" spans="2:6" ht="11.25">
      <c r="B7" s="51" t="s">
        <v>84</v>
      </c>
      <c r="C7" s="97">
        <v>27615.67230051822</v>
      </c>
      <c r="D7" s="97">
        <v>27310.231806310407</v>
      </c>
      <c r="E7" s="100">
        <v>-305.4404942078145</v>
      </c>
      <c r="F7" s="97">
        <v>-1.1060404066356289</v>
      </c>
    </row>
    <row r="8" spans="2:6" ht="11.25">
      <c r="B8" s="53" t="s">
        <v>100</v>
      </c>
      <c r="C8" s="98">
        <v>-1831.5247534017808</v>
      </c>
      <c r="D8" s="98">
        <v>-2680.4415713195885</v>
      </c>
      <c r="E8" s="101">
        <v>-848.9168179178077</v>
      </c>
      <c r="F8" s="98">
        <v>46.35027816801672</v>
      </c>
    </row>
    <row r="9" spans="2:6" ht="11.25">
      <c r="B9" s="53" t="s">
        <v>52</v>
      </c>
      <c r="C9" s="98">
        <v>29447.19705392</v>
      </c>
      <c r="D9" s="98">
        <v>29990.673377629995</v>
      </c>
      <c r="E9" s="101">
        <v>543.4763237099942</v>
      </c>
      <c r="F9" s="98">
        <v>1.845596111286411</v>
      </c>
    </row>
    <row r="10" spans="2:6" ht="11.25">
      <c r="B10" s="78" t="s">
        <v>102</v>
      </c>
      <c r="C10" s="98">
        <v>660.814</v>
      </c>
      <c r="D10" s="98">
        <v>1017.339</v>
      </c>
      <c r="E10" s="101">
        <v>356.525</v>
      </c>
      <c r="F10" s="98">
        <v>53.95239810294578</v>
      </c>
    </row>
    <row r="11" spans="2:6" ht="11.25">
      <c r="B11" s="78" t="s">
        <v>103</v>
      </c>
      <c r="C11" s="98">
        <v>59.693</v>
      </c>
      <c r="D11" s="98">
        <v>24.004</v>
      </c>
      <c r="E11" s="101">
        <v>-35.68899999999999</v>
      </c>
      <c r="F11" s="98">
        <v>-59.78757978322415</v>
      </c>
    </row>
    <row r="12" spans="2:6" ht="11.25">
      <c r="B12" s="78" t="s">
        <v>104</v>
      </c>
      <c r="C12" s="98">
        <v>264.363</v>
      </c>
      <c r="D12" s="98">
        <v>332.909</v>
      </c>
      <c r="E12" s="101">
        <v>68.54599999999999</v>
      </c>
      <c r="F12" s="98">
        <v>25.92874191925496</v>
      </c>
    </row>
    <row r="13" spans="2:6" ht="11.25">
      <c r="B13" s="78" t="s">
        <v>105</v>
      </c>
      <c r="C13" s="98">
        <v>10005.83920955</v>
      </c>
      <c r="D13" s="98">
        <v>9915.07399019</v>
      </c>
      <c r="E13" s="101">
        <v>-90.76521936000063</v>
      </c>
      <c r="F13" s="98">
        <v>-0.9071225057601409</v>
      </c>
    </row>
    <row r="14" spans="2:9" ht="11.25">
      <c r="B14" s="78" t="s">
        <v>106</v>
      </c>
      <c r="C14" s="98">
        <v>18456.48784437</v>
      </c>
      <c r="D14" s="98">
        <v>18701.347387439997</v>
      </c>
      <c r="E14" s="101">
        <v>244.85954306999702</v>
      </c>
      <c r="F14" s="98">
        <v>1.3266854730689697</v>
      </c>
      <c r="G14" s="88"/>
      <c r="H14" s="88"/>
      <c r="I14" s="91"/>
    </row>
    <row r="15" spans="2:6" ht="11.25">
      <c r="B15" s="51" t="s">
        <v>47</v>
      </c>
      <c r="C15" s="98">
        <v>-10619.247047876439</v>
      </c>
      <c r="D15" s="98">
        <v>-11609.021326236274</v>
      </c>
      <c r="E15" s="101">
        <v>-989.7742783598351</v>
      </c>
      <c r="F15" s="98">
        <v>9.320569282336859</v>
      </c>
    </row>
    <row r="16" spans="2:6" ht="12" thickBot="1">
      <c r="B16" s="54" t="s">
        <v>55</v>
      </c>
      <c r="C16" s="99">
        <v>23054.523836671782</v>
      </c>
      <c r="D16" s="99">
        <v>22589.68158973469</v>
      </c>
      <c r="E16" s="102">
        <v>-464.84224693709257</v>
      </c>
      <c r="F16" s="99">
        <v>-2.0162734664581934</v>
      </c>
    </row>
    <row r="17" spans="2:8" ht="12" thickBot="1">
      <c r="B17" s="56"/>
      <c r="C17" s="45"/>
      <c r="D17" s="45"/>
      <c r="E17" s="45"/>
      <c r="F17" s="45"/>
      <c r="H17" s="88"/>
    </row>
    <row r="18" spans="2:6" ht="11.25">
      <c r="B18" s="188" t="s">
        <v>116</v>
      </c>
      <c r="C18" s="189"/>
      <c r="D18" s="189"/>
      <c r="E18" s="189"/>
      <c r="F18" s="189"/>
    </row>
    <row r="19" spans="2:6" ht="11.25">
      <c r="B19" s="49"/>
      <c r="C19" s="28"/>
      <c r="D19" s="28"/>
      <c r="E19" s="95"/>
      <c r="F19" s="173" t="s">
        <v>112</v>
      </c>
    </row>
    <row r="20" spans="2:6" ht="11.25">
      <c r="B20" s="50"/>
      <c r="C20" s="16">
        <v>39141</v>
      </c>
      <c r="D20" s="16">
        <v>39172</v>
      </c>
      <c r="E20" s="172" t="s">
        <v>46</v>
      </c>
      <c r="F20" s="172" t="s">
        <v>113</v>
      </c>
    </row>
    <row r="21" spans="2:6" ht="11.25">
      <c r="B21" s="57"/>
      <c r="C21" s="46"/>
      <c r="D21" s="46"/>
      <c r="E21" s="46"/>
      <c r="F21" s="46"/>
    </row>
    <row r="22" spans="2:6" ht="11.25">
      <c r="B22" s="51" t="s">
        <v>55</v>
      </c>
      <c r="C22" s="97">
        <v>23054.546250100004</v>
      </c>
      <c r="D22" s="97">
        <v>22589.683775737005</v>
      </c>
      <c r="E22" s="97">
        <v>-464.8624743629989</v>
      </c>
      <c r="F22" s="97">
        <v>-2.0163592435092164</v>
      </c>
    </row>
    <row r="23" spans="2:7" ht="11.25">
      <c r="B23" s="53" t="s">
        <v>56</v>
      </c>
      <c r="C23" s="98">
        <v>731.2901204</v>
      </c>
      <c r="D23" s="98">
        <v>797.43821127</v>
      </c>
      <c r="E23" s="98">
        <v>66.14809087000003</v>
      </c>
      <c r="F23" s="98">
        <v>9.045396488307327</v>
      </c>
      <c r="G23" s="88"/>
    </row>
    <row r="24" spans="2:6" ht="11.25">
      <c r="B24" s="53" t="s">
        <v>57</v>
      </c>
      <c r="C24" s="98">
        <v>13916.834080610002</v>
      </c>
      <c r="D24" s="98">
        <v>14029.635651230004</v>
      </c>
      <c r="E24" s="98">
        <v>112.80157062000217</v>
      </c>
      <c r="F24" s="98">
        <v>0.8105404574533653</v>
      </c>
    </row>
    <row r="25" spans="2:6" ht="11.25">
      <c r="B25" s="53" t="s">
        <v>58</v>
      </c>
      <c r="C25" s="98">
        <v>8400.47429091</v>
      </c>
      <c r="D25" s="98">
        <v>7756.662155057</v>
      </c>
      <c r="E25" s="98">
        <v>-643.8121358530007</v>
      </c>
      <c r="F25" s="98">
        <v>-7.663997454877731</v>
      </c>
    </row>
    <row r="26" spans="2:6" ht="12" thickBot="1">
      <c r="B26" s="170" t="s">
        <v>162</v>
      </c>
      <c r="C26" s="98">
        <v>5.94775818</v>
      </c>
      <c r="D26" s="98">
        <v>5.94775818</v>
      </c>
      <c r="E26" s="98">
        <v>0</v>
      </c>
      <c r="F26" s="98">
        <v>0</v>
      </c>
    </row>
    <row r="27" spans="2:6" ht="11.25">
      <c r="B27" s="62"/>
      <c r="C27" s="179"/>
      <c r="D27" s="179"/>
      <c r="E27" s="179"/>
      <c r="F27" s="179"/>
    </row>
    <row r="28" spans="2:6" ht="11.25">
      <c r="B28" s="62"/>
      <c r="C28" s="31"/>
      <c r="D28" s="31"/>
      <c r="E28" s="31"/>
      <c r="F28" s="31"/>
    </row>
    <row r="29" spans="2:6" ht="12" thickBot="1">
      <c r="B29" s="58"/>
      <c r="C29" s="45"/>
      <c r="D29" s="45"/>
      <c r="E29" s="45"/>
      <c r="F29" s="45"/>
    </row>
    <row r="30" spans="2:6" ht="11.25">
      <c r="B30" s="188" t="s">
        <v>117</v>
      </c>
      <c r="C30" s="189"/>
      <c r="D30" s="189"/>
      <c r="E30" s="189"/>
      <c r="F30" s="189"/>
    </row>
    <row r="31" spans="2:6" ht="11.25">
      <c r="B31" s="49"/>
      <c r="C31" s="28"/>
      <c r="D31" s="28"/>
      <c r="E31" s="94"/>
      <c r="F31" s="173" t="s">
        <v>111</v>
      </c>
    </row>
    <row r="32" spans="2:6" ht="11.25">
      <c r="B32" s="50"/>
      <c r="C32" s="16">
        <v>39141</v>
      </c>
      <c r="D32" s="16">
        <v>39172</v>
      </c>
      <c r="E32" s="171" t="s">
        <v>46</v>
      </c>
      <c r="F32" s="171" t="s">
        <v>46</v>
      </c>
    </row>
    <row r="33" spans="2:6" ht="11.25">
      <c r="B33" s="48"/>
      <c r="C33" s="47"/>
      <c r="D33" s="47"/>
      <c r="E33" s="48"/>
      <c r="F33" s="48"/>
    </row>
    <row r="34" spans="2:6" ht="11.25">
      <c r="B34" s="59" t="s">
        <v>118</v>
      </c>
      <c r="C34" s="174">
        <v>28479.72736412</v>
      </c>
      <c r="D34" s="174">
        <v>28634.95459153</v>
      </c>
      <c r="E34" s="174">
        <v>155.22722740999905</v>
      </c>
      <c r="F34" s="174">
        <v>0.5450446397375335</v>
      </c>
    </row>
    <row r="35" spans="2:6" ht="11.25">
      <c r="B35" s="160" t="s">
        <v>53</v>
      </c>
      <c r="C35" s="175">
        <v>0</v>
      </c>
      <c r="D35" s="175">
        <v>0</v>
      </c>
      <c r="E35" s="175">
        <v>0</v>
      </c>
      <c r="F35" s="175">
        <v>0</v>
      </c>
    </row>
    <row r="36" spans="2:6" ht="11.25">
      <c r="B36" s="160" t="s">
        <v>59</v>
      </c>
      <c r="C36" s="175">
        <v>9994.81220955</v>
      </c>
      <c r="D36" s="175">
        <v>9903.90699019</v>
      </c>
      <c r="E36" s="175">
        <v>-90.90521936000005</v>
      </c>
      <c r="F36" s="175">
        <v>-0.9095240356105991</v>
      </c>
    </row>
    <row r="37" spans="2:6" ht="11.25">
      <c r="B37" s="60" t="s">
        <v>119</v>
      </c>
      <c r="C37" s="176">
        <v>7812.37243569</v>
      </c>
      <c r="D37" s="176">
        <v>7754.27711336</v>
      </c>
      <c r="E37" s="175">
        <v>-58.09532233000027</v>
      </c>
      <c r="F37" s="175">
        <v>-0.7436322680239604</v>
      </c>
    </row>
    <row r="38" spans="2:6" ht="11.25">
      <c r="B38" s="61" t="s">
        <v>120</v>
      </c>
      <c r="C38" s="161">
        <v>1701.363</v>
      </c>
      <c r="D38" s="161">
        <v>1845.416</v>
      </c>
      <c r="E38" s="175">
        <v>144.05299999999988</v>
      </c>
      <c r="F38" s="175">
        <v>8.466917406808534</v>
      </c>
    </row>
    <row r="39" spans="2:6" ht="11.25">
      <c r="B39" s="61" t="s">
        <v>121</v>
      </c>
      <c r="C39" s="161">
        <v>2440.7413076300004</v>
      </c>
      <c r="D39" s="161">
        <v>2357.79093378</v>
      </c>
      <c r="E39" s="175">
        <v>-82.95037385000023</v>
      </c>
      <c r="F39" s="175">
        <v>-3.3985729495661463</v>
      </c>
    </row>
    <row r="40" spans="2:6" ht="11.25">
      <c r="B40" s="61" t="s">
        <v>122</v>
      </c>
      <c r="C40" s="161">
        <v>3670.26812806</v>
      </c>
      <c r="D40" s="161">
        <v>3551.07017958</v>
      </c>
      <c r="E40" s="175">
        <v>-119.19794847999992</v>
      </c>
      <c r="F40" s="175">
        <v>-3.2476632311602964</v>
      </c>
    </row>
    <row r="41" spans="2:6" ht="11.25">
      <c r="B41" s="60" t="s">
        <v>123</v>
      </c>
      <c r="C41" s="161">
        <v>1429.6495458200002</v>
      </c>
      <c r="D41" s="161">
        <v>1386.4963057900002</v>
      </c>
      <c r="E41" s="175">
        <v>-43.153240030000006</v>
      </c>
      <c r="F41" s="175">
        <v>-3.0184488328745434</v>
      </c>
    </row>
    <row r="42" spans="2:6" ht="11.25">
      <c r="B42" s="60" t="s">
        <v>124</v>
      </c>
      <c r="C42" s="161">
        <v>36.67722804</v>
      </c>
      <c r="D42" s="161">
        <v>37.006571040000004</v>
      </c>
      <c r="E42" s="175">
        <v>0.3293430000000015</v>
      </c>
      <c r="F42" s="175">
        <v>0.8979495387187431</v>
      </c>
    </row>
    <row r="43" spans="2:7" ht="11.25">
      <c r="B43" s="60" t="s">
        <v>125</v>
      </c>
      <c r="C43" s="161">
        <v>716.113</v>
      </c>
      <c r="D43" s="161">
        <v>726.127</v>
      </c>
      <c r="E43" s="175">
        <v>10.013999999999896</v>
      </c>
      <c r="F43" s="175">
        <v>1.3983826574856058</v>
      </c>
      <c r="G43" s="82"/>
    </row>
    <row r="44" spans="2:8" ht="11.25">
      <c r="B44" s="160" t="s">
        <v>91</v>
      </c>
      <c r="C44" s="162">
        <v>18439.21315457</v>
      </c>
      <c r="D44" s="162">
        <v>18684.86060134</v>
      </c>
      <c r="E44" s="175">
        <v>245.64744676999908</v>
      </c>
      <c r="F44" s="175">
        <v>1.3322013510599149</v>
      </c>
      <c r="G44" s="82"/>
      <c r="H44" s="82"/>
    </row>
    <row r="45" spans="2:6" ht="11.25">
      <c r="B45" s="60" t="s">
        <v>126</v>
      </c>
      <c r="C45" s="162">
        <v>14934.21250049</v>
      </c>
      <c r="D45" s="162">
        <v>15145.5978722</v>
      </c>
      <c r="E45" s="175">
        <v>211.38537170999916</v>
      </c>
      <c r="F45" s="175">
        <v>1.415443711565397</v>
      </c>
    </row>
    <row r="46" spans="2:6" ht="11.25">
      <c r="B46" s="61" t="s">
        <v>120</v>
      </c>
      <c r="C46" s="161">
        <v>12039.77885373</v>
      </c>
      <c r="D46" s="161">
        <v>12173.026145290001</v>
      </c>
      <c r="E46" s="175">
        <v>133.24729156000103</v>
      </c>
      <c r="F46" s="175">
        <v>1.1067254073252364</v>
      </c>
    </row>
    <row r="47" spans="2:6" ht="11.25">
      <c r="B47" s="61" t="s">
        <v>127</v>
      </c>
      <c r="C47" s="161">
        <v>1799.2482657400005</v>
      </c>
      <c r="D47" s="161">
        <v>1858.4057223400002</v>
      </c>
      <c r="E47" s="175">
        <v>59.157456599999705</v>
      </c>
      <c r="F47" s="175">
        <v>3.2878984921888605</v>
      </c>
    </row>
    <row r="48" spans="2:7" ht="11.25">
      <c r="B48" s="61" t="s">
        <v>122</v>
      </c>
      <c r="C48" s="161">
        <v>1095.18538102</v>
      </c>
      <c r="D48" s="161">
        <v>1114.1660045699998</v>
      </c>
      <c r="E48" s="175">
        <v>18.98062354999979</v>
      </c>
      <c r="F48" s="175">
        <v>1.7330968691640316</v>
      </c>
      <c r="G48" s="82"/>
    </row>
    <row r="49" spans="2:6" ht="11.25">
      <c r="B49" s="60" t="s">
        <v>123</v>
      </c>
      <c r="C49" s="161">
        <v>3087.01799413</v>
      </c>
      <c r="D49" s="161">
        <v>3116.62396966</v>
      </c>
      <c r="E49" s="175">
        <v>29.60597553000025</v>
      </c>
      <c r="F49" s="175">
        <v>0.9590477148593353</v>
      </c>
    </row>
    <row r="50" spans="2:6" ht="11.25">
      <c r="B50" s="60" t="s">
        <v>124</v>
      </c>
      <c r="C50" s="161">
        <v>66.31165995</v>
      </c>
      <c r="D50" s="161">
        <v>67.40875947999999</v>
      </c>
      <c r="E50" s="175">
        <v>1.09709952999998</v>
      </c>
      <c r="F50" s="175">
        <v>1.6544594583022196</v>
      </c>
    </row>
    <row r="51" spans="2:6" ht="11.25">
      <c r="B51" s="60" t="s">
        <v>125</v>
      </c>
      <c r="C51" s="161">
        <v>351.671</v>
      </c>
      <c r="D51" s="161">
        <v>355.23</v>
      </c>
      <c r="E51" s="175">
        <v>3.559000000000026</v>
      </c>
      <c r="F51" s="175">
        <v>1.0120254442362395</v>
      </c>
    </row>
    <row r="52" spans="2:6" ht="12" thickBot="1">
      <c r="B52" s="169" t="s">
        <v>128</v>
      </c>
      <c r="C52" s="177">
        <v>45.702</v>
      </c>
      <c r="D52" s="177">
        <v>46.187</v>
      </c>
      <c r="E52" s="178">
        <v>0.48499999999999943</v>
      </c>
      <c r="F52" s="178">
        <v>1.0612227036015918</v>
      </c>
    </row>
    <row r="53" ht="11.25">
      <c r="B53" s="96" t="s">
        <v>145</v>
      </c>
    </row>
  </sheetData>
  <sheetProtection/>
  <mergeCells count="3">
    <mergeCell ref="B30:F30"/>
    <mergeCell ref="B2:F2"/>
    <mergeCell ref="B18:F1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Q48"/>
  <sheetViews>
    <sheetView showGridLines="0" zoomScalePageLayoutView="0" workbookViewId="0" topLeftCell="B37">
      <selection activeCell="B2" sqref="A2:M48"/>
    </sheetView>
  </sheetViews>
  <sheetFormatPr defaultColWidth="9.140625" defaultRowHeight="12"/>
  <cols>
    <col min="1" max="16384" width="9.28125" style="1" customWidth="1"/>
  </cols>
  <sheetData>
    <row r="2" spans="2:13" ht="15.75">
      <c r="B2" s="190" t="s">
        <v>154</v>
      </c>
      <c r="C2" s="191"/>
      <c r="D2" s="191"/>
      <c r="E2" s="191"/>
      <c r="F2" s="191"/>
      <c r="G2" s="191"/>
      <c r="H2" s="191"/>
      <c r="I2" s="191"/>
      <c r="J2" s="191"/>
      <c r="K2" s="191"/>
      <c r="L2" s="192"/>
      <c r="M2" s="192"/>
    </row>
    <row r="25" spans="1:12" ht="15.75">
      <c r="A25" s="190"/>
      <c r="B25" s="191"/>
      <c r="C25" s="191"/>
      <c r="D25" s="191"/>
      <c r="E25" s="191"/>
      <c r="F25" s="191"/>
      <c r="G25" s="191"/>
      <c r="H25" s="191"/>
      <c r="I25" s="191"/>
      <c r="J25" s="191"/>
      <c r="K25" s="192"/>
      <c r="L25" s="192"/>
    </row>
    <row r="27" spans="2:13" ht="15.75">
      <c r="B27" s="190" t="s">
        <v>164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2"/>
      <c r="M27" s="192"/>
    </row>
    <row r="28" spans="2:12" ht="1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2:17" ht="15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Q29" s="19"/>
    </row>
    <row r="30" spans="2:12" ht="1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2:12" ht="1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2:12" ht="1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2:12" ht="15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2:12" ht="1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2:12" ht="1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2:12" ht="1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2:12" ht="1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2:12" ht="15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2:12" ht="1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2:12" ht="1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2:12" ht="1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2:12" ht="15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2:12" ht="15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2:12" ht="15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2:12" ht="15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2:12" ht="15">
      <c r="B46" s="181" t="s">
        <v>107</v>
      </c>
      <c r="C46" s="181"/>
      <c r="D46" s="181"/>
      <c r="E46" s="181"/>
      <c r="F46" s="29"/>
      <c r="G46" s="29"/>
      <c r="H46" s="29"/>
      <c r="I46" s="29"/>
      <c r="J46" s="29"/>
      <c r="K46" s="29"/>
      <c r="L46" s="29"/>
    </row>
    <row r="47" spans="2:5" ht="15">
      <c r="B47" s="181" t="s">
        <v>161</v>
      </c>
      <c r="C47" s="181"/>
      <c r="D47" s="181"/>
      <c r="E47" s="181"/>
    </row>
    <row r="48" spans="2:5" ht="15">
      <c r="B48" s="29"/>
      <c r="C48" s="29"/>
      <c r="D48" s="29"/>
      <c r="E48" s="29"/>
    </row>
  </sheetData>
  <sheetProtection/>
  <mergeCells count="3">
    <mergeCell ref="B2:M2"/>
    <mergeCell ref="A25:L25"/>
    <mergeCell ref="B27:M27"/>
  </mergeCells>
  <printOptions horizontalCentered="1"/>
  <pageMargins left="0.43" right="0.29" top="1" bottom="1" header="0.5" footer="0.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84"/>
  <sheetViews>
    <sheetView showGridLines="0" zoomScale="75" zoomScaleNormal="75" zoomScaleSheetLayoutView="75" zoomScalePageLayoutView="0" workbookViewId="0" topLeftCell="A61">
      <selection activeCell="A1" sqref="A1:C84"/>
    </sheetView>
  </sheetViews>
  <sheetFormatPr defaultColWidth="9.140625" defaultRowHeight="12"/>
  <cols>
    <col min="1" max="1" width="82.8515625" style="2" customWidth="1"/>
    <col min="2" max="3" width="12.00390625" style="2" customWidth="1"/>
    <col min="4" max="4" width="12.421875" style="2" customWidth="1"/>
    <col min="5" max="5" width="24.140625" style="2" customWidth="1"/>
    <col min="6" max="7" width="9.28125" style="2" customWidth="1"/>
    <col min="8" max="8" width="17.28125" style="2" bestFit="1" customWidth="1"/>
    <col min="9" max="9" width="9.28125" style="2" customWidth="1"/>
    <col min="10" max="10" width="16.140625" style="2" bestFit="1" customWidth="1"/>
    <col min="11" max="16384" width="9.28125" style="2" customWidth="1"/>
  </cols>
  <sheetData>
    <row r="1" ht="12.75" thickBot="1">
      <c r="A1" s="27" t="s">
        <v>48</v>
      </c>
    </row>
    <row r="2" spans="1:5" ht="12.75" thickBot="1">
      <c r="A2" s="3" t="s">
        <v>2</v>
      </c>
      <c r="B2" s="79">
        <v>39141</v>
      </c>
      <c r="C2" s="79">
        <v>39172</v>
      </c>
      <c r="D2" s="4"/>
      <c r="E2" s="5"/>
    </row>
    <row r="3" spans="1:5" ht="12">
      <c r="A3" s="6"/>
      <c r="B3" s="41"/>
      <c r="C3" s="41"/>
      <c r="D3" s="7"/>
      <c r="E3" s="5"/>
    </row>
    <row r="4" spans="1:5" ht="12">
      <c r="A4" s="6" t="s">
        <v>3</v>
      </c>
      <c r="B4" s="42">
        <v>9</v>
      </c>
      <c r="C4" s="42">
        <v>9</v>
      </c>
      <c r="D4" s="32"/>
      <c r="E4" s="5"/>
    </row>
    <row r="5" spans="1:5" ht="12">
      <c r="A5" s="6"/>
      <c r="B5" s="42"/>
      <c r="C5" s="42"/>
      <c r="D5" s="8"/>
      <c r="E5" s="5"/>
    </row>
    <row r="6" spans="1:5" ht="12">
      <c r="A6" s="6" t="s">
        <v>42</v>
      </c>
      <c r="B6" s="42">
        <v>13.75</v>
      </c>
      <c r="C6" s="42">
        <v>13.75</v>
      </c>
      <c r="D6" s="32"/>
      <c r="E6" s="5"/>
    </row>
    <row r="7" spans="1:5" ht="12">
      <c r="A7" s="6"/>
      <c r="B7" s="42"/>
      <c r="C7" s="42"/>
      <c r="D7" s="8"/>
      <c r="E7" s="5"/>
    </row>
    <row r="8" spans="1:5" ht="12">
      <c r="A8" s="6" t="s">
        <v>4</v>
      </c>
      <c r="B8" s="42">
        <v>13.75</v>
      </c>
      <c r="C8" s="42">
        <v>13.75</v>
      </c>
      <c r="D8" s="8"/>
      <c r="E8" s="5"/>
    </row>
    <row r="9" spans="1:5" ht="12">
      <c r="A9" s="6"/>
      <c r="B9" s="42"/>
      <c r="C9" s="42"/>
      <c r="D9" s="8"/>
      <c r="E9" s="5"/>
    </row>
    <row r="10" spans="1:5" ht="12">
      <c r="A10" s="6" t="s">
        <v>148</v>
      </c>
      <c r="B10" s="42">
        <v>12.32</v>
      </c>
      <c r="C10" s="42">
        <v>11.9</v>
      </c>
      <c r="D10" s="8"/>
      <c r="E10" s="5"/>
    </row>
    <row r="11" spans="1:5" ht="12">
      <c r="A11" s="6"/>
      <c r="B11" s="42"/>
      <c r="C11" s="42"/>
      <c r="D11" s="8"/>
      <c r="E11" s="5"/>
    </row>
    <row r="12" spans="1:5" ht="12">
      <c r="A12" s="6" t="s">
        <v>5</v>
      </c>
      <c r="B12" s="42">
        <v>7.38</v>
      </c>
      <c r="C12" s="42">
        <v>7.22</v>
      </c>
      <c r="D12" s="8"/>
      <c r="E12" s="5"/>
    </row>
    <row r="13" spans="1:5" ht="12">
      <c r="A13" s="6"/>
      <c r="B13" s="42"/>
      <c r="C13" s="42"/>
      <c r="D13" s="8"/>
      <c r="E13" s="5"/>
    </row>
    <row r="14" spans="1:5" ht="12">
      <c r="A14" s="9" t="s">
        <v>6</v>
      </c>
      <c r="B14" s="42"/>
      <c r="C14" s="42"/>
      <c r="D14" s="5"/>
      <c r="E14" s="5"/>
    </row>
    <row r="15" spans="1:3" ht="12">
      <c r="A15" s="6"/>
      <c r="B15" s="42"/>
      <c r="C15" s="42"/>
    </row>
    <row r="16" spans="1:3" ht="12">
      <c r="A16" s="6" t="s">
        <v>7</v>
      </c>
      <c r="B16" s="42">
        <v>8.14</v>
      </c>
      <c r="C16" s="42">
        <v>8.06</v>
      </c>
    </row>
    <row r="17" spans="1:3" ht="12">
      <c r="A17" s="6" t="s">
        <v>41</v>
      </c>
      <c r="B17" s="42">
        <v>8.57</v>
      </c>
      <c r="C17" s="42">
        <v>8.49</v>
      </c>
    </row>
    <row r="18" spans="1:3" ht="12">
      <c r="A18" s="6" t="s">
        <v>8</v>
      </c>
      <c r="B18" s="85">
        <v>100</v>
      </c>
      <c r="C18" s="85">
        <v>150</v>
      </c>
    </row>
    <row r="19" spans="1:3" ht="12">
      <c r="A19" s="6" t="s">
        <v>9</v>
      </c>
      <c r="B19" s="85">
        <v>100</v>
      </c>
      <c r="C19" s="85">
        <v>150</v>
      </c>
    </row>
    <row r="20" spans="1:3" ht="12">
      <c r="A20" s="6"/>
      <c r="B20" s="42"/>
      <c r="C20" s="42"/>
    </row>
    <row r="21" spans="1:3" ht="12">
      <c r="A21" s="9" t="s">
        <v>10</v>
      </c>
      <c r="B21" s="42"/>
      <c r="C21" s="42"/>
    </row>
    <row r="22" spans="1:3" ht="12">
      <c r="A22" s="6"/>
      <c r="B22" s="42"/>
      <c r="C22" s="42"/>
    </row>
    <row r="23" spans="1:3" ht="12">
      <c r="A23" s="6" t="s">
        <v>7</v>
      </c>
      <c r="B23" s="85">
        <v>8.22</v>
      </c>
      <c r="C23" s="85">
        <v>8.09</v>
      </c>
    </row>
    <row r="24" spans="1:3" ht="12">
      <c r="A24" s="6" t="s">
        <v>40</v>
      </c>
      <c r="B24" s="42">
        <v>8.76</v>
      </c>
      <c r="C24" s="42">
        <v>8.6</v>
      </c>
    </row>
    <row r="25" spans="1:3" ht="12">
      <c r="A25" s="6" t="s">
        <v>8</v>
      </c>
      <c r="B25" s="85">
        <v>120</v>
      </c>
      <c r="C25" s="85">
        <v>300</v>
      </c>
    </row>
    <row r="26" spans="1:3" ht="12">
      <c r="A26" s="6" t="s">
        <v>9</v>
      </c>
      <c r="B26" s="85">
        <v>200</v>
      </c>
      <c r="C26" s="85">
        <v>350</v>
      </c>
    </row>
    <row r="27" spans="1:3" ht="12">
      <c r="A27" s="6"/>
      <c r="B27" s="42"/>
      <c r="C27" s="42"/>
    </row>
    <row r="28" spans="1:3" ht="12">
      <c r="A28" s="9" t="s">
        <v>43</v>
      </c>
      <c r="B28" s="42"/>
      <c r="C28" s="42"/>
    </row>
    <row r="29" spans="1:3" ht="12">
      <c r="A29" s="6"/>
      <c r="B29" s="81"/>
      <c r="C29" s="81"/>
    </row>
    <row r="30" spans="1:3" ht="12">
      <c r="A30" s="6" t="s">
        <v>7</v>
      </c>
      <c r="B30" s="85">
        <v>8.28</v>
      </c>
      <c r="C30" s="85">
        <v>8.18</v>
      </c>
    </row>
    <row r="31" spans="1:3" ht="12">
      <c r="A31" s="6" t="s">
        <v>40</v>
      </c>
      <c r="B31" s="85">
        <v>9.03</v>
      </c>
      <c r="C31" s="85">
        <v>8.9</v>
      </c>
    </row>
    <row r="32" spans="1:3" ht="12">
      <c r="A32" s="6" t="s">
        <v>8</v>
      </c>
      <c r="B32" s="85">
        <v>100</v>
      </c>
      <c r="C32" s="85">
        <v>100</v>
      </c>
    </row>
    <row r="33" spans="1:3" ht="12">
      <c r="A33" s="6" t="s">
        <v>9</v>
      </c>
      <c r="B33" s="42">
        <v>100</v>
      </c>
      <c r="C33" s="42">
        <v>200</v>
      </c>
    </row>
    <row r="34" spans="1:3" ht="12">
      <c r="A34" s="6"/>
      <c r="B34" s="42"/>
      <c r="C34" s="42"/>
    </row>
    <row r="35" spans="1:3" ht="12">
      <c r="A35" s="6"/>
      <c r="B35" s="42"/>
      <c r="C35" s="42"/>
    </row>
    <row r="36" spans="1:3" ht="12">
      <c r="A36" s="6"/>
      <c r="B36" s="42"/>
      <c r="C36" s="42"/>
    </row>
    <row r="37" spans="1:3" ht="12">
      <c r="A37" s="9" t="s">
        <v>44</v>
      </c>
      <c r="B37" s="42">
        <v>4130</v>
      </c>
      <c r="C37" s="42">
        <v>3950</v>
      </c>
    </row>
    <row r="38" spans="1:3" ht="12">
      <c r="A38" s="6"/>
      <c r="B38" s="42"/>
      <c r="C38" s="42"/>
    </row>
    <row r="39" spans="1:3" ht="12">
      <c r="A39" s="6"/>
      <c r="B39" s="39"/>
      <c r="C39" s="39"/>
    </row>
    <row r="40" spans="1:3" ht="12.75" thickBot="1">
      <c r="A40" s="6"/>
      <c r="B40" s="39"/>
      <c r="C40" s="39"/>
    </row>
    <row r="41" spans="1:3" ht="12.75" thickBot="1">
      <c r="A41" s="3" t="s">
        <v>11</v>
      </c>
      <c r="B41" s="79">
        <v>39141</v>
      </c>
      <c r="C41" s="79">
        <v>39172</v>
      </c>
    </row>
    <row r="42" spans="1:3" ht="12">
      <c r="A42" s="6"/>
      <c r="B42" s="39"/>
      <c r="C42" s="39"/>
    </row>
    <row r="43" spans="1:3" ht="12">
      <c r="A43" s="9" t="s">
        <v>12</v>
      </c>
      <c r="B43" s="39"/>
      <c r="C43" s="39"/>
    </row>
    <row r="44" spans="1:3" ht="12">
      <c r="A44" s="10" t="s">
        <v>110</v>
      </c>
      <c r="B44" s="39"/>
      <c r="C44" s="39"/>
    </row>
    <row r="45" spans="1:3" ht="12">
      <c r="A45" s="6" t="s">
        <v>13</v>
      </c>
      <c r="B45" s="80">
        <v>8.99</v>
      </c>
      <c r="C45" s="80">
        <v>8.82</v>
      </c>
    </row>
    <row r="46" spans="1:3" ht="12">
      <c r="A46" s="6" t="s">
        <v>8</v>
      </c>
      <c r="B46" s="80">
        <v>80</v>
      </c>
      <c r="C46" s="80">
        <v>8</v>
      </c>
    </row>
    <row r="47" spans="1:3" ht="12">
      <c r="A47" s="6" t="s">
        <v>9</v>
      </c>
      <c r="B47" s="80">
        <v>0</v>
      </c>
      <c r="C47" s="80">
        <v>0</v>
      </c>
    </row>
    <row r="48" spans="1:3" ht="12">
      <c r="A48" s="6"/>
      <c r="B48" s="42"/>
      <c r="C48" s="42"/>
    </row>
    <row r="49" spans="1:3" ht="12">
      <c r="A49" s="6" t="s">
        <v>14</v>
      </c>
      <c r="B49" s="85">
        <v>6897.85</v>
      </c>
      <c r="C49" s="85">
        <v>6977.85</v>
      </c>
    </row>
    <row r="50" spans="1:3" ht="12.75" thickBot="1">
      <c r="A50" s="6"/>
      <c r="B50" s="39"/>
      <c r="C50" s="39"/>
    </row>
    <row r="51" spans="1:3" ht="12.75" thickBot="1">
      <c r="A51" s="3" t="s">
        <v>15</v>
      </c>
      <c r="B51" s="79">
        <v>39141</v>
      </c>
      <c r="C51" s="79">
        <v>39172</v>
      </c>
    </row>
    <row r="52" spans="1:3" ht="12">
      <c r="A52" s="6"/>
      <c r="B52" s="39"/>
      <c r="C52" s="39"/>
    </row>
    <row r="53" spans="1:3" ht="12">
      <c r="A53" s="9" t="s">
        <v>16</v>
      </c>
      <c r="B53" s="39"/>
      <c r="C53" s="39"/>
    </row>
    <row r="54" spans="1:3" ht="12">
      <c r="A54" s="6"/>
      <c r="B54" s="39"/>
      <c r="C54" s="39"/>
    </row>
    <row r="55" spans="1:5" ht="12">
      <c r="A55" s="6" t="s">
        <v>17</v>
      </c>
      <c r="B55" s="84">
        <v>39.195</v>
      </c>
      <c r="C55" s="84">
        <v>29.89</v>
      </c>
      <c r="E55" s="11"/>
    </row>
    <row r="56" spans="1:10" ht="12">
      <c r="A56" s="6" t="s">
        <v>18</v>
      </c>
      <c r="B56" s="83">
        <v>1390.088</v>
      </c>
      <c r="C56" s="83">
        <v>1576.76</v>
      </c>
      <c r="E56" s="11"/>
      <c r="H56" s="12"/>
      <c r="J56" s="12"/>
    </row>
    <row r="57" spans="1:5" ht="12">
      <c r="A57" s="6" t="s">
        <v>19</v>
      </c>
      <c r="B57" s="83">
        <v>852.78</v>
      </c>
      <c r="C57" s="83">
        <v>911.26</v>
      </c>
      <c r="D57" s="14"/>
      <c r="E57" s="13"/>
    </row>
    <row r="58" spans="1:5" ht="12">
      <c r="A58" s="6" t="s">
        <v>20</v>
      </c>
      <c r="B58" s="83">
        <v>1206.938</v>
      </c>
      <c r="C58" s="83">
        <v>1282.92</v>
      </c>
      <c r="D58" s="14"/>
      <c r="E58" s="13"/>
    </row>
    <row r="59" spans="1:5" ht="12">
      <c r="A59" s="6" t="s">
        <v>21</v>
      </c>
      <c r="B59" s="83">
        <v>533.406</v>
      </c>
      <c r="C59" s="83">
        <v>592.68</v>
      </c>
      <c r="D59" s="13"/>
      <c r="E59" s="13"/>
    </row>
    <row r="60" spans="1:10" ht="12">
      <c r="A60" s="6" t="s">
        <v>22</v>
      </c>
      <c r="B60" s="83">
        <v>569.149</v>
      </c>
      <c r="C60" s="83">
        <v>582.25</v>
      </c>
      <c r="D60" s="14"/>
      <c r="E60" s="13"/>
      <c r="H60" s="12"/>
      <c r="J60" s="12"/>
    </row>
    <row r="61" spans="1:10" ht="12">
      <c r="A61" s="6" t="s">
        <v>23</v>
      </c>
      <c r="B61" s="83">
        <v>35.898</v>
      </c>
      <c r="C61" s="83">
        <v>37.45</v>
      </c>
      <c r="D61" s="14"/>
      <c r="E61" s="13"/>
      <c r="H61" s="12"/>
      <c r="J61" s="12"/>
    </row>
    <row r="62" spans="1:4" ht="12">
      <c r="A62" s="6" t="s">
        <v>24</v>
      </c>
      <c r="B62" s="83">
        <v>66.61</v>
      </c>
      <c r="C62" s="83">
        <v>68.29</v>
      </c>
      <c r="D62" s="14"/>
    </row>
    <row r="63" spans="1:4" ht="12">
      <c r="A63" s="6" t="s">
        <v>25</v>
      </c>
      <c r="B63" s="83">
        <v>1.874</v>
      </c>
      <c r="C63" s="83">
        <v>1.99</v>
      </c>
      <c r="D63" s="14"/>
    </row>
    <row r="64" spans="1:3" ht="12">
      <c r="A64" s="6"/>
      <c r="B64" s="39"/>
      <c r="C64" s="39"/>
    </row>
    <row r="65" spans="1:4" ht="12">
      <c r="A65" s="9" t="s">
        <v>26</v>
      </c>
      <c r="B65" s="39"/>
      <c r="C65" s="39"/>
      <c r="D65" s="14"/>
    </row>
    <row r="66" spans="1:5" ht="12">
      <c r="A66" s="6"/>
      <c r="B66" s="39"/>
      <c r="C66" s="39"/>
      <c r="E66" s="11"/>
    </row>
    <row r="67" spans="1:5" ht="12">
      <c r="A67" s="6" t="s">
        <v>17</v>
      </c>
      <c r="B67" s="42">
        <v>17.045</v>
      </c>
      <c r="C67" s="42">
        <v>820.324</v>
      </c>
      <c r="E67" s="11"/>
    </row>
    <row r="68" spans="1:5" ht="12">
      <c r="A68" s="6" t="s">
        <v>18</v>
      </c>
      <c r="B68" s="42">
        <v>11.143</v>
      </c>
      <c r="C68" s="42">
        <v>2.907</v>
      </c>
      <c r="E68" s="12"/>
    </row>
    <row r="69" spans="1:5" ht="12">
      <c r="A69" s="6" t="s">
        <v>19</v>
      </c>
      <c r="B69" s="42">
        <v>94.25</v>
      </c>
      <c r="C69" s="42">
        <v>101.61</v>
      </c>
      <c r="D69" s="14"/>
      <c r="E69" s="12"/>
    </row>
    <row r="70" spans="1:5" ht="12">
      <c r="A70" s="6" t="s">
        <v>20</v>
      </c>
      <c r="B70" s="85">
        <v>3.927</v>
      </c>
      <c r="C70" s="85">
        <v>3.96</v>
      </c>
      <c r="D70" s="86"/>
      <c r="E70" s="12"/>
    </row>
    <row r="71" spans="1:5" ht="12">
      <c r="A71" s="6" t="s">
        <v>21</v>
      </c>
      <c r="B71" s="42">
        <v>0</v>
      </c>
      <c r="C71" s="42">
        <v>0</v>
      </c>
      <c r="D71" s="14"/>
      <c r="E71" s="12"/>
    </row>
    <row r="72" spans="1:5" ht="12">
      <c r="A72" s="6" t="s">
        <v>22</v>
      </c>
      <c r="B72" s="42">
        <v>3.094</v>
      </c>
      <c r="C72" s="42">
        <v>3.13</v>
      </c>
      <c r="D72" s="86"/>
      <c r="E72" s="12"/>
    </row>
    <row r="73" spans="1:4" ht="12">
      <c r="A73" s="6" t="s">
        <v>23</v>
      </c>
      <c r="B73" s="42">
        <v>0.671</v>
      </c>
      <c r="C73" s="42">
        <v>0.671</v>
      </c>
      <c r="D73" s="14"/>
    </row>
    <row r="74" spans="1:4" ht="12">
      <c r="A74" s="6" t="s">
        <v>24</v>
      </c>
      <c r="B74" s="42">
        <v>0.133</v>
      </c>
      <c r="C74" s="42">
        <v>0.133</v>
      </c>
      <c r="D74" s="14"/>
    </row>
    <row r="75" spans="1:4" ht="12">
      <c r="A75" s="6" t="s">
        <v>25</v>
      </c>
      <c r="B75" s="42">
        <v>0.29</v>
      </c>
      <c r="C75" s="42">
        <v>0.29</v>
      </c>
      <c r="D75" s="87"/>
    </row>
    <row r="76" spans="1:3" ht="12.75" thickBot="1">
      <c r="A76" s="6"/>
      <c r="B76" s="42"/>
      <c r="C76" s="42"/>
    </row>
    <row r="77" spans="1:3" ht="12.75" thickBot="1">
      <c r="A77" s="3" t="s">
        <v>109</v>
      </c>
      <c r="B77" s="79">
        <v>39141</v>
      </c>
      <c r="C77" s="79">
        <v>39172</v>
      </c>
    </row>
    <row r="78" spans="1:3" ht="12">
      <c r="A78" s="6"/>
      <c r="B78" s="39"/>
      <c r="C78" s="39"/>
    </row>
    <row r="79" spans="1:3" ht="12">
      <c r="A79" s="6"/>
      <c r="B79" s="39"/>
      <c r="C79" s="39"/>
    </row>
    <row r="80" spans="1:3" ht="12">
      <c r="A80" s="6" t="s">
        <v>27</v>
      </c>
      <c r="B80" s="81">
        <v>6</v>
      </c>
      <c r="C80" s="81">
        <v>6.3</v>
      </c>
    </row>
    <row r="81" spans="1:3" ht="12">
      <c r="A81" s="6" t="s">
        <v>28</v>
      </c>
      <c r="B81" s="81">
        <v>1.1</v>
      </c>
      <c r="C81" s="81">
        <v>1.8</v>
      </c>
    </row>
    <row r="82" spans="1:3" ht="12.75" thickBot="1">
      <c r="A82" s="15" t="s">
        <v>29</v>
      </c>
      <c r="B82" s="89">
        <v>0.2</v>
      </c>
      <c r="C82" s="89">
        <v>0.7</v>
      </c>
    </row>
    <row r="83" ht="12">
      <c r="A83" s="2" t="s">
        <v>167</v>
      </c>
    </row>
    <row r="84" ht="12">
      <c r="A84" s="2" t="s">
        <v>149</v>
      </c>
    </row>
  </sheetData>
  <sheetProtection/>
  <printOptions horizontalCentered="1"/>
  <pageMargins left="0.5" right="0.5" top="0.61" bottom="0.74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Q84"/>
  <sheetViews>
    <sheetView showGridLines="0" zoomScale="75" zoomScaleNormal="75" zoomScaleSheetLayoutView="75" zoomScalePageLayoutView="0" workbookViewId="0" topLeftCell="B56">
      <selection activeCell="B4" sqref="A4:P79"/>
    </sheetView>
  </sheetViews>
  <sheetFormatPr defaultColWidth="9.140625" defaultRowHeight="12"/>
  <cols>
    <col min="1" max="1" width="0.13671875" style="0" hidden="1" customWidth="1"/>
  </cols>
  <sheetData>
    <row r="2" spans="5:15" ht="15.75">
      <c r="E2" s="195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3:13" ht="15.75"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</row>
    <row r="4" spans="1:17" ht="15.75">
      <c r="A4" s="19"/>
      <c r="B4" s="19"/>
      <c r="C4" s="194" t="s">
        <v>153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"/>
      <c r="O4" s="19"/>
      <c r="P4" s="19"/>
      <c r="Q4" s="19"/>
    </row>
    <row r="5" spans="1:17" ht="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5.75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"/>
      <c r="M6" s="19"/>
      <c r="N6" s="19"/>
      <c r="O6" s="19"/>
      <c r="P6" s="19"/>
      <c r="Q6" s="19"/>
    </row>
    <row r="7" spans="1:17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57"/>
      <c r="P7" s="19"/>
      <c r="Q7" s="19"/>
    </row>
    <row r="8" spans="1:17" ht="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1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ht="1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ht="1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ht="1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1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ht="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ht="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15">
      <c r="A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ht="15.75">
      <c r="A26" s="19"/>
      <c r="C26" s="182" t="s">
        <v>156</v>
      </c>
      <c r="D26" s="182"/>
      <c r="E26" s="157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15.75">
      <c r="A27" s="19"/>
      <c r="B27" s="20"/>
      <c r="C27" s="156"/>
      <c r="D27" s="157"/>
      <c r="E27" s="157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ht="15">
      <c r="A28" s="19"/>
      <c r="B28" s="2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15">
      <c r="A29" s="19"/>
      <c r="B29" s="2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15.75">
      <c r="A30" s="194" t="s">
        <v>157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"/>
      <c r="M30" s="19"/>
      <c r="N30" s="19"/>
      <c r="O30" s="19"/>
      <c r="P30" s="19"/>
      <c r="Q30" s="19"/>
    </row>
    <row r="31" spans="1:17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7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17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ht="15">
      <c r="A47" s="19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ht="15">
      <c r="A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ht="15">
      <c r="A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ht="15.75">
      <c r="A52" s="19"/>
      <c r="B52" s="20"/>
      <c r="C52" s="182" t="s">
        <v>155</v>
      </c>
      <c r="D52" s="182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ht="15">
      <c r="A53" s="19"/>
      <c r="B53" s="20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ht="15">
      <c r="A54" s="19"/>
      <c r="B54" s="20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12:17" ht="15">
      <c r="L55" s="19"/>
      <c r="M55" s="19"/>
      <c r="N55" s="19"/>
      <c r="O55" s="19"/>
      <c r="P55" s="19"/>
      <c r="Q55" s="19"/>
    </row>
    <row r="56" spans="1:17" ht="15">
      <c r="A56" s="19"/>
      <c r="B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1:17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1:17" ht="15.75">
      <c r="A58" s="19"/>
      <c r="B58" s="19"/>
      <c r="C58" s="193" t="s">
        <v>163</v>
      </c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"/>
      <c r="O58" s="19"/>
      <c r="P58" s="19"/>
      <c r="Q58" s="19"/>
    </row>
    <row r="59" spans="1:17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1:17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1:17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1:17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1:17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spans="1:17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1:17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1:17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1:17" ht="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</row>
    <row r="70" spans="1:17" ht="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ht="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ht="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</row>
    <row r="73" spans="1:17" ht="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</row>
    <row r="74" spans="1:17" ht="15">
      <c r="A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ht="15">
      <c r="B75" s="20"/>
    </row>
    <row r="78" ht="15">
      <c r="B78" s="20"/>
    </row>
    <row r="79" spans="3:6" ht="15.75">
      <c r="C79" s="182" t="s">
        <v>158</v>
      </c>
      <c r="D79" s="183"/>
      <c r="E79" s="183"/>
      <c r="F79" s="183"/>
    </row>
    <row r="84" ht="15">
      <c r="C84" s="20"/>
    </row>
  </sheetData>
  <sheetProtection/>
  <mergeCells count="6">
    <mergeCell ref="A6:K6"/>
    <mergeCell ref="A30:K30"/>
    <mergeCell ref="C58:M58"/>
    <mergeCell ref="E2:O2"/>
    <mergeCell ref="C4:M4"/>
    <mergeCell ref="C3:M3"/>
  </mergeCells>
  <printOptions horizontalCentered="1"/>
  <pageMargins left="0.17" right="0.6" top="0.42" bottom="0.5" header="0.44" footer="0.5"/>
  <pageSetup fitToHeight="1" fitToWidth="1"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AZ22"/>
  <sheetViews>
    <sheetView showGridLines="0" zoomScaleSheetLayoutView="75" zoomScalePageLayoutView="0" workbookViewId="0" topLeftCell="A3">
      <pane xSplit="30" ySplit="2" topLeftCell="AW5" activePane="bottomRight" state="frozen"/>
      <selection pane="topLeft" activeCell="A3" sqref="A3"/>
      <selection pane="topRight" activeCell="AE3" sqref="AE3"/>
      <selection pane="bottomLeft" activeCell="A5" sqref="A5"/>
      <selection pane="bottomRight" activeCell="B4" sqref="B4:AZ22"/>
    </sheetView>
  </sheetViews>
  <sheetFormatPr defaultColWidth="9.140625" defaultRowHeight="19.5" customHeight="1"/>
  <cols>
    <col min="1" max="1" width="4.7109375" style="40" customWidth="1"/>
    <col min="2" max="2" width="57.7109375" style="40" customWidth="1"/>
    <col min="3" max="7" width="9.8515625" style="40" hidden="1" customWidth="1"/>
    <col min="8" max="8" width="11.28125" style="40" hidden="1" customWidth="1"/>
    <col min="9" max="9" width="11.8515625" style="40" hidden="1" customWidth="1"/>
    <col min="10" max="11" width="9.8515625" style="40" hidden="1" customWidth="1"/>
    <col min="12" max="12" width="11.140625" style="40" hidden="1" customWidth="1"/>
    <col min="13" max="13" width="11.421875" style="40" hidden="1" customWidth="1"/>
    <col min="14" max="14" width="11.00390625" style="40" hidden="1" customWidth="1"/>
    <col min="15" max="15" width="10.140625" style="40" hidden="1" customWidth="1"/>
    <col min="16" max="16" width="9.8515625" style="40" hidden="1" customWidth="1"/>
    <col min="17" max="17" width="11.28125" style="40" hidden="1" customWidth="1"/>
    <col min="18" max="18" width="10.7109375" style="40" hidden="1" customWidth="1"/>
    <col min="19" max="19" width="11.00390625" style="40" hidden="1" customWidth="1"/>
    <col min="20" max="20" width="14.7109375" style="40" hidden="1" customWidth="1"/>
    <col min="21" max="21" width="2.00390625" style="40" hidden="1" customWidth="1"/>
    <col min="22" max="22" width="10.421875" style="40" hidden="1" customWidth="1"/>
    <col min="23" max="23" width="9.8515625" style="40" hidden="1" customWidth="1"/>
    <col min="24" max="24" width="9.421875" style="40" hidden="1" customWidth="1"/>
    <col min="25" max="25" width="11.28125" style="40" hidden="1" customWidth="1"/>
    <col min="26" max="26" width="10.421875" style="40" hidden="1" customWidth="1"/>
    <col min="27" max="27" width="10.8515625" style="40" hidden="1" customWidth="1"/>
    <col min="28" max="28" width="11.00390625" style="40" hidden="1" customWidth="1"/>
    <col min="29" max="29" width="11.7109375" style="40" hidden="1" customWidth="1"/>
    <col min="30" max="30" width="9.8515625" style="40" hidden="1" customWidth="1"/>
    <col min="31" max="31" width="10.8515625" style="40" hidden="1" customWidth="1"/>
    <col min="32" max="32" width="11.8515625" style="40" hidden="1" customWidth="1"/>
    <col min="33" max="33" width="12.140625" style="40" hidden="1" customWidth="1"/>
    <col min="34" max="34" width="11.421875" style="40" hidden="1" customWidth="1"/>
    <col min="35" max="35" width="11.140625" style="40" hidden="1" customWidth="1"/>
    <col min="36" max="36" width="10.8515625" style="40" hidden="1" customWidth="1"/>
    <col min="37" max="39" width="10.421875" style="40" hidden="1" customWidth="1"/>
    <col min="40" max="40" width="10.421875" style="40" customWidth="1"/>
    <col min="41" max="41" width="11.421875" style="40" customWidth="1"/>
    <col min="42" max="44" width="11.00390625" style="40" customWidth="1"/>
    <col min="45" max="48" width="12.7109375" style="40" customWidth="1"/>
    <col min="49" max="49" width="11.421875" style="40" customWidth="1"/>
    <col min="50" max="50" width="10.7109375" style="40" customWidth="1"/>
    <col min="51" max="52" width="11.8515625" style="40" customWidth="1"/>
    <col min="53" max="16384" width="9.140625" style="40" customWidth="1"/>
  </cols>
  <sheetData>
    <row r="1" ht="19.5" customHeight="1" thickBot="1"/>
    <row r="2" spans="2:48" ht="19.5" customHeight="1">
      <c r="B2" s="107" t="s">
        <v>150</v>
      </c>
      <c r="C2" s="108"/>
      <c r="D2" s="108"/>
      <c r="E2" s="108"/>
      <c r="F2" s="109"/>
      <c r="G2" s="110"/>
      <c r="H2" s="109"/>
      <c r="I2" s="110"/>
      <c r="J2" s="110"/>
      <c r="K2" s="109"/>
      <c r="L2" s="109"/>
      <c r="M2" s="111"/>
      <c r="N2" s="110"/>
      <c r="O2" s="112"/>
      <c r="P2" s="110"/>
      <c r="Q2" s="109"/>
      <c r="R2" s="110"/>
      <c r="S2" s="110"/>
      <c r="T2" s="113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</row>
    <row r="3" spans="2:52" ht="19.5" customHeight="1" thickBot="1">
      <c r="B3" s="114"/>
      <c r="C3" s="114"/>
      <c r="D3" s="114"/>
      <c r="E3" s="114"/>
      <c r="F3" s="115"/>
      <c r="G3" s="115"/>
      <c r="H3" s="115"/>
      <c r="I3" s="116"/>
      <c r="J3" s="116"/>
      <c r="K3" s="115"/>
      <c r="L3" s="115"/>
      <c r="M3" s="117"/>
      <c r="N3" s="116"/>
      <c r="O3" s="118"/>
      <c r="P3" s="116"/>
      <c r="Q3" s="115"/>
      <c r="R3" s="116"/>
      <c r="S3" s="116"/>
      <c r="T3" s="119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84"/>
      <c r="AX3" s="184"/>
      <c r="AY3" s="184"/>
      <c r="AZ3" s="155"/>
    </row>
    <row r="4" spans="2:52" ht="19.5" customHeight="1">
      <c r="B4" s="185"/>
      <c r="C4" s="186">
        <v>37655</v>
      </c>
      <c r="D4" s="186">
        <v>37681</v>
      </c>
      <c r="E4" s="186">
        <v>37712</v>
      </c>
      <c r="F4" s="186">
        <v>37742</v>
      </c>
      <c r="G4" s="186">
        <v>37773</v>
      </c>
      <c r="H4" s="186">
        <v>37803</v>
      </c>
      <c r="I4" s="186">
        <v>37834</v>
      </c>
      <c r="J4" s="186">
        <v>37865</v>
      </c>
      <c r="K4" s="186">
        <v>37895</v>
      </c>
      <c r="L4" s="186">
        <v>37926</v>
      </c>
      <c r="M4" s="186">
        <v>37956</v>
      </c>
      <c r="N4" s="186">
        <v>37987</v>
      </c>
      <c r="O4" s="187">
        <v>38018</v>
      </c>
      <c r="P4" s="186">
        <v>38047</v>
      </c>
      <c r="Q4" s="186">
        <v>38078</v>
      </c>
      <c r="R4" s="186">
        <v>38108</v>
      </c>
      <c r="S4" s="186">
        <v>38139</v>
      </c>
      <c r="T4" s="186">
        <v>38169</v>
      </c>
      <c r="U4" s="186">
        <v>38200</v>
      </c>
      <c r="V4" s="186">
        <v>38231</v>
      </c>
      <c r="W4" s="186">
        <v>38261</v>
      </c>
      <c r="X4" s="186">
        <v>38292</v>
      </c>
      <c r="Y4" s="186">
        <v>38322</v>
      </c>
      <c r="Z4" s="186">
        <v>38353</v>
      </c>
      <c r="AA4" s="186">
        <v>38384</v>
      </c>
      <c r="AB4" s="186">
        <v>38412</v>
      </c>
      <c r="AC4" s="186">
        <v>38443</v>
      </c>
      <c r="AD4" s="186">
        <v>38473</v>
      </c>
      <c r="AE4" s="186">
        <v>38504</v>
      </c>
      <c r="AF4" s="186">
        <v>38534</v>
      </c>
      <c r="AG4" s="186">
        <v>38565</v>
      </c>
      <c r="AH4" s="186">
        <v>38596</v>
      </c>
      <c r="AI4" s="186">
        <v>38626</v>
      </c>
      <c r="AJ4" s="186">
        <v>38657</v>
      </c>
      <c r="AK4" s="186">
        <v>38687</v>
      </c>
      <c r="AL4" s="186">
        <v>38718</v>
      </c>
      <c r="AM4" s="186">
        <v>38749</v>
      </c>
      <c r="AN4" s="186">
        <v>38777</v>
      </c>
      <c r="AO4" s="186">
        <v>38808</v>
      </c>
      <c r="AP4" s="186">
        <v>38838</v>
      </c>
      <c r="AQ4" s="186">
        <v>38869</v>
      </c>
      <c r="AR4" s="186">
        <v>38929</v>
      </c>
      <c r="AS4" s="186">
        <v>38960</v>
      </c>
      <c r="AT4" s="186">
        <v>38990</v>
      </c>
      <c r="AU4" s="186">
        <v>39021</v>
      </c>
      <c r="AV4" s="186">
        <v>39051</v>
      </c>
      <c r="AW4" s="186">
        <v>39082</v>
      </c>
      <c r="AX4" s="186">
        <v>39113</v>
      </c>
      <c r="AY4" s="186">
        <v>39141</v>
      </c>
      <c r="AZ4" s="186">
        <v>39172</v>
      </c>
    </row>
    <row r="5" spans="1:52" ht="19.5" customHeight="1">
      <c r="A5" s="154"/>
      <c r="B5" s="120" t="s">
        <v>114</v>
      </c>
      <c r="C5" s="121"/>
      <c r="D5" s="121"/>
      <c r="E5" s="122"/>
      <c r="F5" s="123"/>
      <c r="G5" s="123"/>
      <c r="H5" s="123"/>
      <c r="I5" s="123"/>
      <c r="J5" s="123"/>
      <c r="K5" s="123"/>
      <c r="L5" s="123"/>
      <c r="M5" s="124"/>
      <c r="N5" s="123"/>
      <c r="O5" s="125"/>
      <c r="P5" s="126"/>
      <c r="Q5" s="123"/>
      <c r="R5" s="126"/>
      <c r="S5" s="126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</row>
    <row r="6" spans="1:52" ht="19.5" customHeight="1">
      <c r="A6" s="155"/>
      <c r="B6" s="120"/>
      <c r="C6" s="121"/>
      <c r="D6" s="121"/>
      <c r="E6" s="122"/>
      <c r="F6" s="123"/>
      <c r="G6" s="123"/>
      <c r="H6" s="123"/>
      <c r="I6" s="123"/>
      <c r="J6" s="123"/>
      <c r="K6" s="123"/>
      <c r="L6" s="123"/>
      <c r="M6" s="124"/>
      <c r="N6" s="123"/>
      <c r="O6" s="125"/>
      <c r="P6" s="126"/>
      <c r="Q6" s="123"/>
      <c r="R6" s="126"/>
      <c r="S6" s="126"/>
      <c r="T6" s="127"/>
      <c r="U6" s="126"/>
      <c r="V6" s="126"/>
      <c r="W6" s="126"/>
      <c r="X6" s="126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</row>
    <row r="7" spans="2:52" ht="19.5" customHeight="1">
      <c r="B7" s="120" t="s">
        <v>30</v>
      </c>
      <c r="C7" s="128">
        <v>2595.44027685</v>
      </c>
      <c r="D7" s="128">
        <v>2187.8368766900003</v>
      </c>
      <c r="E7" s="128">
        <v>2272.4872471500003</v>
      </c>
      <c r="F7" s="129">
        <v>2113.36340838</v>
      </c>
      <c r="G7" s="129">
        <v>2165.8</v>
      </c>
      <c r="H7" s="130">
        <v>2129.6</v>
      </c>
      <c r="I7" s="123">
        <v>1891</v>
      </c>
      <c r="J7" s="129">
        <v>2181.2</v>
      </c>
      <c r="K7" s="129">
        <v>2467.9</v>
      </c>
      <c r="L7" s="129">
        <v>2091</v>
      </c>
      <c r="M7" s="131">
        <v>2110.3</v>
      </c>
      <c r="N7" s="129">
        <v>2710.8702829799995</v>
      </c>
      <c r="O7" s="132">
        <v>1935.4129830699999</v>
      </c>
      <c r="P7" s="133">
        <v>1824.1042653499997</v>
      </c>
      <c r="Q7" s="123">
        <v>2395.6</v>
      </c>
      <c r="R7" s="123">
        <v>1860.4</v>
      </c>
      <c r="S7" s="123">
        <v>1783.2</v>
      </c>
      <c r="T7" s="123">
        <v>1984.6</v>
      </c>
      <c r="U7" s="123">
        <v>1989.9</v>
      </c>
      <c r="V7" s="123">
        <v>1808.2</v>
      </c>
      <c r="W7" s="123">
        <v>2207.6</v>
      </c>
      <c r="X7" s="123">
        <v>1987.9</v>
      </c>
      <c r="Y7" s="123">
        <v>1977.3</v>
      </c>
      <c r="Z7" s="123">
        <v>2327.5</v>
      </c>
      <c r="AA7" s="123">
        <v>2029.5</v>
      </c>
      <c r="AB7" s="123">
        <v>1912.6</v>
      </c>
      <c r="AC7" s="123">
        <v>2303.8</v>
      </c>
      <c r="AD7" s="123">
        <v>2107.1</v>
      </c>
      <c r="AE7" s="123">
        <v>1874.1</v>
      </c>
      <c r="AF7" s="123">
        <v>2354.7</v>
      </c>
      <c r="AG7" s="123">
        <v>2159.1</v>
      </c>
      <c r="AH7" s="123">
        <v>1818.2</v>
      </c>
      <c r="AI7" s="129">
        <v>2245</v>
      </c>
      <c r="AJ7" s="129">
        <v>1902.22246</v>
      </c>
      <c r="AK7" s="129">
        <v>1983.9</v>
      </c>
      <c r="AL7" s="129">
        <v>2705.5</v>
      </c>
      <c r="AM7" s="129">
        <v>2696</v>
      </c>
      <c r="AN7" s="129">
        <v>2458.1</v>
      </c>
      <c r="AO7" s="129">
        <v>3129.7</v>
      </c>
      <c r="AP7" s="129">
        <v>2973</v>
      </c>
      <c r="AQ7" s="129">
        <v>2677.9</v>
      </c>
      <c r="AR7" s="129">
        <v>3313.1</v>
      </c>
      <c r="AS7" s="129">
        <v>2760.7</v>
      </c>
      <c r="AT7" s="129">
        <v>3119.2</v>
      </c>
      <c r="AU7" s="129">
        <v>4104.4</v>
      </c>
      <c r="AV7" s="129">
        <v>3495.2</v>
      </c>
      <c r="AW7" s="129">
        <v>3164.3</v>
      </c>
      <c r="AX7" s="129">
        <v>4865.6</v>
      </c>
      <c r="AY7" s="129">
        <v>4466.4</v>
      </c>
      <c r="AZ7" s="129">
        <v>5690</v>
      </c>
    </row>
    <row r="8" spans="2:52" ht="19.5" customHeight="1">
      <c r="B8" s="120" t="s">
        <v>31</v>
      </c>
      <c r="C8" s="134"/>
      <c r="D8" s="134">
        <f>D7-C7</f>
        <v>-407.60340015999964</v>
      </c>
      <c r="E8" s="134">
        <f>E7-D7</f>
        <v>84.65037045999998</v>
      </c>
      <c r="F8" s="134">
        <f>F7-E7</f>
        <v>-159.12383877000048</v>
      </c>
      <c r="G8" s="134">
        <f aca="true" t="shared" si="0" ref="G8:AG8">G7-F7</f>
        <v>52.4365916200004</v>
      </c>
      <c r="H8" s="134">
        <f t="shared" si="0"/>
        <v>-36.20000000000027</v>
      </c>
      <c r="I8" s="134">
        <f t="shared" si="0"/>
        <v>-238.5999999999999</v>
      </c>
      <c r="J8" s="134">
        <f t="shared" si="0"/>
        <v>290.1999999999998</v>
      </c>
      <c r="K8" s="134">
        <f t="shared" si="0"/>
        <v>286.7000000000003</v>
      </c>
      <c r="L8" s="134">
        <f t="shared" si="0"/>
        <v>-376.9000000000001</v>
      </c>
      <c r="M8" s="134">
        <f t="shared" si="0"/>
        <v>19.300000000000182</v>
      </c>
      <c r="N8" s="134">
        <f t="shared" si="0"/>
        <v>600.5702829799993</v>
      </c>
      <c r="O8" s="135">
        <f t="shared" si="0"/>
        <v>-775.4572999099996</v>
      </c>
      <c r="P8" s="130">
        <f t="shared" si="0"/>
        <v>-111.30871772000023</v>
      </c>
      <c r="Q8" s="130">
        <f t="shared" si="0"/>
        <v>571.4957346500003</v>
      </c>
      <c r="R8" s="130">
        <f t="shared" si="0"/>
        <v>-535.1999999999998</v>
      </c>
      <c r="S8" s="130">
        <f t="shared" si="0"/>
        <v>-77.20000000000005</v>
      </c>
      <c r="T8" s="130">
        <f t="shared" si="0"/>
        <v>201.39999999999986</v>
      </c>
      <c r="U8" s="130">
        <f t="shared" si="0"/>
        <v>5.300000000000182</v>
      </c>
      <c r="V8" s="130">
        <f t="shared" si="0"/>
        <v>-181.70000000000005</v>
      </c>
      <c r="W8" s="130">
        <f t="shared" si="0"/>
        <v>399.39999999999986</v>
      </c>
      <c r="X8" s="130">
        <f t="shared" si="0"/>
        <v>-219.69999999999982</v>
      </c>
      <c r="Y8" s="130">
        <f t="shared" si="0"/>
        <v>-10.600000000000136</v>
      </c>
      <c r="Z8" s="130">
        <f t="shared" si="0"/>
        <v>350.20000000000005</v>
      </c>
      <c r="AA8" s="130">
        <f t="shared" si="0"/>
        <v>-298</v>
      </c>
      <c r="AB8" s="130">
        <f t="shared" si="0"/>
        <v>-116.90000000000009</v>
      </c>
      <c r="AC8" s="130">
        <f t="shared" si="0"/>
        <v>391.2000000000003</v>
      </c>
      <c r="AD8" s="130">
        <f t="shared" si="0"/>
        <v>-196.70000000000027</v>
      </c>
      <c r="AE8" s="130">
        <f t="shared" si="0"/>
        <v>-233</v>
      </c>
      <c r="AF8" s="130">
        <f t="shared" si="0"/>
        <v>480.5999999999999</v>
      </c>
      <c r="AG8" s="130">
        <f t="shared" si="0"/>
        <v>-195.5999999999999</v>
      </c>
      <c r="AH8" s="130">
        <f aca="true" t="shared" si="1" ref="AH8:AZ8">AH7-AG7</f>
        <v>-340.89999999999986</v>
      </c>
      <c r="AI8" s="130">
        <f t="shared" si="1"/>
        <v>426.79999999999995</v>
      </c>
      <c r="AJ8" s="130">
        <f t="shared" si="1"/>
        <v>-342.77754000000004</v>
      </c>
      <c r="AK8" s="130">
        <f t="shared" si="1"/>
        <v>81.67754000000014</v>
      </c>
      <c r="AL8" s="130">
        <f t="shared" si="1"/>
        <v>721.5999999999999</v>
      </c>
      <c r="AM8" s="130">
        <f t="shared" si="1"/>
        <v>-9.5</v>
      </c>
      <c r="AN8" s="130">
        <f t="shared" si="1"/>
        <v>-237.9000000000001</v>
      </c>
      <c r="AO8" s="130">
        <f t="shared" si="1"/>
        <v>671.5999999999999</v>
      </c>
      <c r="AP8" s="130">
        <f t="shared" si="1"/>
        <v>-156.69999999999982</v>
      </c>
      <c r="AQ8" s="130">
        <f t="shared" si="1"/>
        <v>-295.0999999999999</v>
      </c>
      <c r="AR8" s="130">
        <f t="shared" si="1"/>
        <v>635.1999999999998</v>
      </c>
      <c r="AS8" s="130">
        <f t="shared" si="1"/>
        <v>-552.4000000000001</v>
      </c>
      <c r="AT8" s="130">
        <f t="shared" si="1"/>
        <v>358.5</v>
      </c>
      <c r="AU8" s="130">
        <f t="shared" si="1"/>
        <v>985.1999999999998</v>
      </c>
      <c r="AV8" s="130">
        <f t="shared" si="1"/>
        <v>-609.1999999999998</v>
      </c>
      <c r="AW8" s="130">
        <f t="shared" si="1"/>
        <v>-330.89999999999964</v>
      </c>
      <c r="AX8" s="130">
        <f t="shared" si="1"/>
        <v>1701.3000000000002</v>
      </c>
      <c r="AY8" s="130">
        <f t="shared" si="1"/>
        <v>-399.2000000000007</v>
      </c>
      <c r="AZ8" s="130">
        <f t="shared" si="1"/>
        <v>1223.6000000000004</v>
      </c>
    </row>
    <row r="9" spans="2:52" ht="19.5" customHeight="1">
      <c r="B9" s="120"/>
      <c r="C9" s="121"/>
      <c r="D9" s="121"/>
      <c r="E9" s="121"/>
      <c r="F9" s="123"/>
      <c r="G9" s="123"/>
      <c r="H9" s="123"/>
      <c r="I9" s="123"/>
      <c r="J9" s="123"/>
      <c r="K9" s="123"/>
      <c r="L9" s="123"/>
      <c r="M9" s="124"/>
      <c r="N9" s="123"/>
      <c r="O9" s="125"/>
      <c r="P9" s="126"/>
      <c r="Q9" s="123"/>
      <c r="R9" s="126"/>
      <c r="S9" s="126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</row>
    <row r="10" spans="2:52" ht="19.5" customHeight="1">
      <c r="B10" s="120" t="s">
        <v>45</v>
      </c>
      <c r="C10" s="121"/>
      <c r="D10" s="121"/>
      <c r="E10" s="121"/>
      <c r="F10" s="123"/>
      <c r="G10" s="123"/>
      <c r="H10" s="123"/>
      <c r="I10" s="123"/>
      <c r="J10" s="123"/>
      <c r="K10" s="123"/>
      <c r="L10" s="123"/>
      <c r="M10" s="124"/>
      <c r="N10" s="123"/>
      <c r="O10" s="125"/>
      <c r="P10" s="126"/>
      <c r="Q10" s="123"/>
      <c r="R10" s="126"/>
      <c r="S10" s="126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</row>
    <row r="11" spans="2:52" ht="19.5" customHeight="1">
      <c r="B11" s="120"/>
      <c r="C11" s="121"/>
      <c r="D11" s="121"/>
      <c r="E11" s="121"/>
      <c r="F11" s="123"/>
      <c r="G11" s="123"/>
      <c r="H11" s="123"/>
      <c r="I11" s="123"/>
      <c r="J11" s="123"/>
      <c r="K11" s="123"/>
      <c r="L11" s="123"/>
      <c r="M11" s="124"/>
      <c r="N11" s="123"/>
      <c r="O11" s="125"/>
      <c r="P11" s="126"/>
      <c r="Q11" s="123"/>
      <c r="R11" s="126"/>
      <c r="S11" s="126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</row>
    <row r="12" spans="2:52" ht="19.5" customHeight="1">
      <c r="B12" s="120" t="s">
        <v>32</v>
      </c>
      <c r="C12" s="121"/>
      <c r="D12" s="121">
        <v>8.0439</v>
      </c>
      <c r="E12" s="121">
        <v>7.7068</v>
      </c>
      <c r="F12" s="136">
        <v>7.6652</v>
      </c>
      <c r="G12" s="136">
        <v>7.9027</v>
      </c>
      <c r="H12" s="136">
        <v>7.5401</v>
      </c>
      <c r="I12" s="123">
        <v>7.3922</v>
      </c>
      <c r="J12" s="123">
        <v>7.3246</v>
      </c>
      <c r="K12" s="123">
        <v>6.9637</v>
      </c>
      <c r="L12" s="123">
        <v>6.7287</v>
      </c>
      <c r="M12" s="124">
        <v>6.5159</v>
      </c>
      <c r="N12" s="123">
        <v>6.9179</v>
      </c>
      <c r="O12" s="124">
        <v>6.7686</v>
      </c>
      <c r="P12" s="123">
        <v>6.6633</v>
      </c>
      <c r="Q12" s="123">
        <v>6.5537</v>
      </c>
      <c r="R12" s="123">
        <v>6.7821</v>
      </c>
      <c r="S12" s="123">
        <v>6.4381</v>
      </c>
      <c r="T12" s="137">
        <v>6.1287</v>
      </c>
      <c r="U12" s="123">
        <v>6.4575</v>
      </c>
      <c r="V12" s="123">
        <v>6.5469</v>
      </c>
      <c r="W12" s="123">
        <v>6.3876</v>
      </c>
      <c r="X12" s="123">
        <v>6.0558</v>
      </c>
      <c r="Y12" s="123">
        <v>5.7323</v>
      </c>
      <c r="Z12" s="123">
        <v>5.9698</v>
      </c>
      <c r="AA12" s="123">
        <v>6.0161</v>
      </c>
      <c r="AB12" s="123">
        <v>6.323</v>
      </c>
      <c r="AC12" s="123">
        <v>6.1521</v>
      </c>
      <c r="AD12" s="123">
        <v>6.3314</v>
      </c>
      <c r="AE12" s="137">
        <v>6.75</v>
      </c>
      <c r="AF12" s="137">
        <v>6.7035</v>
      </c>
      <c r="AG12" s="137">
        <v>6.465</v>
      </c>
      <c r="AH12" s="137">
        <v>6.3578</v>
      </c>
      <c r="AI12" s="137">
        <v>6.5766</v>
      </c>
      <c r="AJ12" s="137">
        <v>6.521</v>
      </c>
      <c r="AK12" s="137">
        <v>6.3591</v>
      </c>
      <c r="AL12" s="137">
        <v>6.0891</v>
      </c>
      <c r="AM12" s="137">
        <v>6.1177</v>
      </c>
      <c r="AN12" s="137">
        <v>6.2544</v>
      </c>
      <c r="AO12" s="137">
        <v>6.072</v>
      </c>
      <c r="AP12" s="137">
        <v>6.3199</v>
      </c>
      <c r="AQ12" s="137">
        <v>6.9549</v>
      </c>
      <c r="AR12" s="137">
        <v>7.0843</v>
      </c>
      <c r="AS12" s="137">
        <v>6.9553</v>
      </c>
      <c r="AT12" s="137">
        <v>7.4098</v>
      </c>
      <c r="AU12" s="137">
        <v>7.6492</v>
      </c>
      <c r="AV12" s="137">
        <v>7.2586</v>
      </c>
      <c r="AW12" s="137">
        <v>7.0406</v>
      </c>
      <c r="AX12" s="137">
        <v>7.1838</v>
      </c>
      <c r="AY12" s="137">
        <v>7.1698</v>
      </c>
      <c r="AZ12" s="137">
        <v>7.3514</v>
      </c>
    </row>
    <row r="13" spans="2:52" ht="19.5" customHeight="1">
      <c r="B13" s="120" t="s">
        <v>33</v>
      </c>
      <c r="C13" s="138"/>
      <c r="D13" s="138">
        <f>1/8.0439</f>
        <v>0.124317806039359</v>
      </c>
      <c r="E13" s="138">
        <f>1/7.7068</f>
        <v>0.12975554056158198</v>
      </c>
      <c r="F13" s="139">
        <f>1/7.6652</f>
        <v>0.13045974012419767</v>
      </c>
      <c r="G13" s="139">
        <f>1/7.9027</f>
        <v>0.12653903096410088</v>
      </c>
      <c r="H13" s="139">
        <f>1/7.5401</f>
        <v>0.1326242357528415</v>
      </c>
      <c r="I13" s="139">
        <f>1/7.3922</f>
        <v>0.13527772516977354</v>
      </c>
      <c r="J13" s="139">
        <f>1/7.3246</f>
        <v>0.1365262266881468</v>
      </c>
      <c r="K13" s="139">
        <f>1/6.9637</f>
        <v>0.14360182087108864</v>
      </c>
      <c r="L13" s="139">
        <f>1/6.7287</f>
        <v>0.14861711771961894</v>
      </c>
      <c r="M13" s="139">
        <f>1/6.5159</f>
        <v>0.15347074080326586</v>
      </c>
      <c r="N13" s="139">
        <f>1/6.9179</f>
        <v>0.14455253761979792</v>
      </c>
      <c r="O13" s="140">
        <f>1/6.7686</f>
        <v>0.14774103950595396</v>
      </c>
      <c r="P13" s="139">
        <f>1/6.6633</f>
        <v>0.1500757882730779</v>
      </c>
      <c r="Q13" s="139">
        <f>1/6.5537</f>
        <v>0.15258556235409004</v>
      </c>
      <c r="R13" s="139">
        <f>1/6.7821</f>
        <v>0.14744695595759427</v>
      </c>
      <c r="S13" s="139">
        <f>1/6.4381</f>
        <v>0.15532532890138395</v>
      </c>
      <c r="T13" s="139">
        <f>1/6.1287</f>
        <v>0.1631667400916997</v>
      </c>
      <c r="U13" s="139">
        <f>1/6.4575</f>
        <v>0.1548586914440573</v>
      </c>
      <c r="V13" s="139">
        <f>1/6.5469</f>
        <v>0.15274404680077594</v>
      </c>
      <c r="W13" s="139">
        <f>1/6.3876</f>
        <v>0.15655332206149414</v>
      </c>
      <c r="X13" s="139">
        <f>1/6.0558</f>
        <v>0.16513094884243207</v>
      </c>
      <c r="Y13" s="139">
        <f>1/5.7323</f>
        <v>0.17445004622926225</v>
      </c>
      <c r="Z13" s="139">
        <f>1/5.9698</f>
        <v>0.1675097993232604</v>
      </c>
      <c r="AA13" s="139">
        <f>1/6.0161</f>
        <v>0.16622064127923405</v>
      </c>
      <c r="AB13" s="139">
        <f>1/6.0101</f>
        <v>0.16638658258598024</v>
      </c>
      <c r="AC13" s="139">
        <f>1/6.1521</f>
        <v>0.16254612246224867</v>
      </c>
      <c r="AD13" s="139">
        <f>1/6.3314</f>
        <v>0.1579429510060966</v>
      </c>
      <c r="AE13" s="139">
        <f>1/6.75</f>
        <v>0.14814814814814814</v>
      </c>
      <c r="AF13" s="139">
        <f>1/6.7035</f>
        <v>0.14917580368464234</v>
      </c>
      <c r="AG13" s="139">
        <f>1/6.465</f>
        <v>0.15467904098994587</v>
      </c>
      <c r="AH13" s="139">
        <f>1/6.3578</f>
        <v>0.1572871118940514</v>
      </c>
      <c r="AI13" s="139">
        <f>1/6.5766</f>
        <v>0.15205425295745523</v>
      </c>
      <c r="AJ13" s="139">
        <f>1/6.521</f>
        <v>0.15335071308081583</v>
      </c>
      <c r="AK13" s="139">
        <f>1/6.3591</f>
        <v>0.157254957462534</v>
      </c>
      <c r="AL13" s="139">
        <f>1/6.0891</f>
        <v>0.1642278826099095</v>
      </c>
      <c r="AM13" s="139">
        <f>1/6.1177</f>
        <v>0.16346012390277392</v>
      </c>
      <c r="AN13" s="139">
        <f>1/6.2544</f>
        <v>0.15988743924277307</v>
      </c>
      <c r="AO13" s="139">
        <f>1/6.072</f>
        <v>0.16469038208168643</v>
      </c>
      <c r="AP13" s="139">
        <f>1/6.3199</f>
        <v>0.15823035174607195</v>
      </c>
      <c r="AQ13" s="139">
        <f>1/6.9549</f>
        <v>0.14378351953299112</v>
      </c>
      <c r="AR13" s="139">
        <f>1/7.0843</f>
        <v>0.14115720678119223</v>
      </c>
      <c r="AS13" s="139">
        <f>1/6.9553</f>
        <v>0.14377525052837403</v>
      </c>
      <c r="AT13" s="139">
        <f>1/7.4098</f>
        <v>0.1349564090798672</v>
      </c>
      <c r="AU13" s="139">
        <f>1/7.6492</f>
        <v>0.13073262563405322</v>
      </c>
      <c r="AV13" s="139">
        <f>1/7.2586</f>
        <v>0.1377676135893974</v>
      </c>
      <c r="AW13" s="139">
        <f>1/7.0406</f>
        <v>0.14203334943044627</v>
      </c>
      <c r="AX13" s="139">
        <f>1/7.1838</f>
        <v>0.13920209359948774</v>
      </c>
      <c r="AY13" s="139">
        <f>1/7.1698</f>
        <v>0.13947390443248067</v>
      </c>
      <c r="AZ13" s="139">
        <f>1/7.3514</f>
        <v>0.13602851157602633</v>
      </c>
    </row>
    <row r="14" spans="2:52" ht="19.5" customHeight="1">
      <c r="B14" s="120" t="s">
        <v>34</v>
      </c>
      <c r="C14" s="121"/>
      <c r="D14" s="121"/>
      <c r="E14" s="121"/>
      <c r="F14" s="136"/>
      <c r="G14" s="136"/>
      <c r="H14" s="136"/>
      <c r="I14" s="123"/>
      <c r="J14" s="123"/>
      <c r="K14" s="123"/>
      <c r="L14" s="123"/>
      <c r="M14" s="124"/>
      <c r="N14" s="123"/>
      <c r="O14" s="125"/>
      <c r="P14" s="126"/>
      <c r="Q14" s="123"/>
      <c r="R14" s="126"/>
      <c r="S14" s="126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</row>
    <row r="15" spans="2:52" ht="19.5" customHeight="1">
      <c r="B15" s="120" t="s">
        <v>35</v>
      </c>
      <c r="C15" s="138"/>
      <c r="D15" s="138">
        <f>1/12.7437</f>
        <v>0.07847014603294176</v>
      </c>
      <c r="E15" s="138">
        <f>1/12.124</f>
        <v>0.08248102936324644</v>
      </c>
      <c r="F15" s="139">
        <f>1/12.4393</f>
        <v>0.08039037566422548</v>
      </c>
      <c r="G15" s="139">
        <f>1/13.1219</f>
        <v>0.07620847590669035</v>
      </c>
      <c r="H15" s="139">
        <f>1/12.26</f>
        <v>0.08156606851549755</v>
      </c>
      <c r="I15" s="139">
        <f>1/11.7868</f>
        <v>0.08484066922319884</v>
      </c>
      <c r="J15" s="139">
        <f>1/11.702</f>
        <v>0.08545547769612032</v>
      </c>
      <c r="K15" s="139">
        <f>1/11.6744</f>
        <v>0.08565750702391557</v>
      </c>
      <c r="L15" s="139">
        <f>1/11.3692</f>
        <v>0.08795693628399535</v>
      </c>
      <c r="M15" s="139">
        <f>1/11.3073</f>
        <v>0.08843844242215207</v>
      </c>
      <c r="N15" s="139">
        <f>1/12.5935</f>
        <v>0.07940604279985707</v>
      </c>
      <c r="O15" s="140">
        <f>1/12.6411</f>
        <v>0.07910703973546607</v>
      </c>
      <c r="P15" s="139">
        <f>1/12.1204</f>
        <v>0.08250552787036732</v>
      </c>
      <c r="Q15" s="139">
        <f>1/11.8224</f>
        <v>0.08458519420760591</v>
      </c>
      <c r="R15" s="139">
        <f>1/12.1262</f>
        <v>0.08246606521416437</v>
      </c>
      <c r="S15" s="139">
        <f>1/11.7619</f>
        <v>0.08502027733614466</v>
      </c>
      <c r="T15" s="139">
        <f>1/11.2923</f>
        <v>0.08855591863482197</v>
      </c>
      <c r="U15" s="139">
        <f>1/11.7446</f>
        <v>0.08514551368288405</v>
      </c>
      <c r="V15" s="139">
        <f>1/11.736</f>
        <v>0.08520790729379686</v>
      </c>
      <c r="W15" s="139">
        <f>1/11.5461</f>
        <v>0.08660933128935312</v>
      </c>
      <c r="X15" s="139">
        <f>1/11.2483</f>
        <v>0.08890232301770044</v>
      </c>
      <c r="Y15" s="139">
        <f>1/11.601</f>
        <v>0.0861994655633135</v>
      </c>
      <c r="Z15" s="139">
        <f>1/11.2168</f>
        <v>0.08915198630625491</v>
      </c>
      <c r="AA15" s="139">
        <f>1/11.3535</f>
        <v>0.08807856608094419</v>
      </c>
      <c r="AB15" s="139">
        <f>1/11.8847</f>
        <v>0.08414179575420498</v>
      </c>
      <c r="AC15" s="139">
        <f>1/11.6567</f>
        <v>0.08578757281220242</v>
      </c>
      <c r="AD15" s="139">
        <f>1/11.7446</f>
        <v>0.08514551368288405</v>
      </c>
      <c r="AE15" s="139">
        <f>1/12.282</f>
        <v>0.08141996417521576</v>
      </c>
      <c r="AF15" s="139">
        <f>1/11.7407</f>
        <v>0.08517379713304998</v>
      </c>
      <c r="AG15" s="139">
        <f>1/11.5992</f>
        <v>0.0862128422649838</v>
      </c>
      <c r="AH15" s="139">
        <f>1/11.4978</f>
        <v>0.08697316008279846</v>
      </c>
      <c r="AI15" s="139">
        <f>1/11.5989</f>
        <v>0.08621507211890782</v>
      </c>
      <c r="AJ15" s="139">
        <f>1/11.2213</f>
        <v>0.08911623430440324</v>
      </c>
      <c r="AK15" s="139">
        <f>1/11.1059</f>
        <v>0.0900422298057789</v>
      </c>
      <c r="AL15" s="139">
        <f>1/10.7529</f>
        <v>0.09299816793609166</v>
      </c>
      <c r="AM15" s="139">
        <f>1/10.6948</f>
        <v>0.09350338482253057</v>
      </c>
      <c r="AN15" s="139">
        <f>1/10.907</f>
        <v>0.09168423947923351</v>
      </c>
      <c r="AO15" s="139">
        <f>1/10.7206</f>
        <v>0.09327836128574894</v>
      </c>
      <c r="AP15" s="139">
        <f>1/11.806</f>
        <v>0.08470269354565475</v>
      </c>
      <c r="AQ15" s="139">
        <f>1/12.8291</f>
        <v>0.07794779056987629</v>
      </c>
      <c r="AR15" s="139">
        <f>1/13.0643</f>
        <v>0.07654447616787735</v>
      </c>
      <c r="AS15" s="139">
        <f>1/13.1608</f>
        <v>0.07598322290438271</v>
      </c>
      <c r="AT15" s="139">
        <f>1/13.9706</f>
        <v>0.07157888709146351</v>
      </c>
      <c r="AU15" s="139">
        <f>1/14.3415</f>
        <v>0.069727713279643</v>
      </c>
      <c r="AV15" s="139">
        <f>1/13.8728</f>
        <v>0.07208350152817024</v>
      </c>
      <c r="AW15" s="139">
        <f>1/13.8362</f>
        <v>0.07227417932669375</v>
      </c>
      <c r="AX15" s="139">
        <f>1/14.0828</f>
        <v>0.07100860624307666</v>
      </c>
      <c r="AY15" s="139">
        <f>1/14.0398</f>
        <v>0.07122608584167865</v>
      </c>
      <c r="AZ15" s="139">
        <f>1/14.3044</f>
        <v>0.06990855960403793</v>
      </c>
    </row>
    <row r="16" spans="2:52" ht="19.5" customHeight="1">
      <c r="B16" s="120" t="s">
        <v>36</v>
      </c>
      <c r="C16" s="138"/>
      <c r="D16" s="138">
        <f>1/0.0679</f>
        <v>14.727540500736376</v>
      </c>
      <c r="E16" s="138">
        <f>1/0.0642</f>
        <v>15.576323987538942</v>
      </c>
      <c r="F16" s="139">
        <f>1/0.0654</f>
        <v>15.290519877675841</v>
      </c>
      <c r="G16" s="139">
        <f>1/0.0668</f>
        <v>14.970059880239521</v>
      </c>
      <c r="H16" s="139">
        <f>1/0.0636</f>
        <v>15.723270440251572</v>
      </c>
      <c r="I16" s="139">
        <f>1/0.0622</f>
        <v>16.077170418006432</v>
      </c>
      <c r="J16" s="139">
        <f>1/0.0636</f>
        <v>15.723270440251572</v>
      </c>
      <c r="K16" s="139">
        <f>1/0.0636</f>
        <v>15.723270440251572</v>
      </c>
      <c r="L16" s="139">
        <f>1/0.0616</f>
        <v>16.233766233766232</v>
      </c>
      <c r="M16" s="139">
        <f>1/0.0604</f>
        <v>16.556291390728475</v>
      </c>
      <c r="N16" s="139">
        <f>1/0.065</f>
        <v>15.384615384615383</v>
      </c>
      <c r="O16" s="140">
        <f>1/0.0695</f>
        <v>14.388489208633093</v>
      </c>
      <c r="P16" s="139">
        <f>1/0.0611</f>
        <v>16.366612111292962</v>
      </c>
      <c r="Q16" s="139">
        <f>1/0.061</f>
        <v>16.39344262295082</v>
      </c>
      <c r="R16" s="139">
        <f>1/0.0606</f>
        <v>16.5016501650165</v>
      </c>
      <c r="S16" s="139">
        <f>1/0.0588</f>
        <v>17.006802721088437</v>
      </c>
      <c r="T16" s="139">
        <f>1/0.0561</f>
        <v>17.825311942959004</v>
      </c>
      <c r="U16" s="139">
        <f>1/0.0505</f>
        <v>19.801980198019802</v>
      </c>
      <c r="V16" s="139">
        <f>1/0.0595</f>
        <v>16.80672268907563</v>
      </c>
      <c r="W16" s="139">
        <f>1/0.0587</f>
        <v>17.035775127768314</v>
      </c>
      <c r="X16" s="139">
        <f>1/0.0578</f>
        <v>17.301038062283737</v>
      </c>
      <c r="Y16" s="139">
        <f>1/0.052</f>
        <v>19.23076923076923</v>
      </c>
      <c r="Z16" s="139">
        <f>1/0.0578</f>
        <v>17.301038062283737</v>
      </c>
      <c r="AA16" s="139">
        <f>1/0.0574</f>
        <v>17.421602787456447</v>
      </c>
      <c r="AB16" s="139">
        <f>1/0.0572</f>
        <v>17.482517482517483</v>
      </c>
      <c r="AC16" s="139">
        <f>1/0.0572</f>
        <v>17.482517482517483</v>
      </c>
      <c r="AD16" s="139">
        <f>1/0.0594</f>
        <v>16.835016835016834</v>
      </c>
      <c r="AE16" s="139">
        <f>1/0.0621</f>
        <v>16.10305958132045</v>
      </c>
      <c r="AF16" s="139">
        <f>1/0.0599</f>
        <v>16.69449081803005</v>
      </c>
      <c r="AG16" s="139">
        <f>1/0.0585</f>
        <v>17.094017094017094</v>
      </c>
      <c r="AH16" s="139">
        <f>1/0.0573</f>
        <v>17.452006980802793</v>
      </c>
      <c r="AI16" s="139">
        <f>1/0.0573</f>
        <v>17.452006980802793</v>
      </c>
      <c r="AJ16" s="139">
        <f>1/0.0545</f>
        <v>18.34862385321101</v>
      </c>
      <c r="AK16" s="139">
        <f>1/0.0536</f>
        <v>18.65671641791045</v>
      </c>
      <c r="AL16" s="139">
        <f>1/0.0528</f>
        <v>18.93939393939394</v>
      </c>
      <c r="AM16" s="139">
        <f>1/0.0519</f>
        <v>19.267822736030826</v>
      </c>
      <c r="AN16" s="139">
        <f>1/0.0533</f>
        <v>18.76172607879925</v>
      </c>
      <c r="AO16" s="139">
        <f>1/0.0518</f>
        <v>19.305019305019304</v>
      </c>
      <c r="AP16" s="139">
        <f>1/0.0566</f>
        <v>17.6678445229682</v>
      </c>
      <c r="AQ16" s="139">
        <f>1/0.0607</f>
        <v>16.474464579901156</v>
      </c>
      <c r="AR16" s="139">
        <f>1/0.0613</f>
        <v>16.31321370309951</v>
      </c>
      <c r="AS16" s="139">
        <f>1/0.06</f>
        <v>16.666666666666668</v>
      </c>
      <c r="AT16" s="139">
        <f>1/0.0633</f>
        <v>15.797788309636653</v>
      </c>
      <c r="AU16" s="139">
        <f>1/0.0645</f>
        <v>15.503875968992247</v>
      </c>
      <c r="AV16" s="139">
        <f>1/0.0619</f>
        <v>16.155088852988694</v>
      </c>
      <c r="AW16" s="139">
        <f>1/0.0601</f>
        <v>16.638935108153078</v>
      </c>
      <c r="AX16" s="139">
        <f>1/0.0597</f>
        <v>16.75041876046901</v>
      </c>
      <c r="AY16" s="139">
        <f>1/0.0595</f>
        <v>16.80672268907563</v>
      </c>
      <c r="AZ16" s="139">
        <f>1/0.0627</f>
        <v>15.948963317384369</v>
      </c>
    </row>
    <row r="17" spans="2:52" ht="19.5" customHeight="1">
      <c r="B17" s="120" t="s">
        <v>37</v>
      </c>
      <c r="C17" s="141"/>
      <c r="D17" s="141"/>
      <c r="E17" s="141"/>
      <c r="F17" s="123"/>
      <c r="G17" s="123"/>
      <c r="H17" s="123"/>
      <c r="I17" s="123"/>
      <c r="J17" s="123"/>
      <c r="K17" s="123"/>
      <c r="L17" s="123"/>
      <c r="M17" s="123"/>
      <c r="N17" s="123"/>
      <c r="O17" s="125"/>
      <c r="P17" s="126"/>
      <c r="Q17" s="123"/>
      <c r="R17" s="126"/>
      <c r="S17" s="126"/>
      <c r="T17" s="126"/>
      <c r="U17" s="126"/>
      <c r="V17" s="126"/>
      <c r="W17" s="126"/>
      <c r="X17" s="126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</row>
    <row r="18" spans="2:52" ht="19.5" customHeight="1">
      <c r="B18" s="114"/>
      <c r="C18" s="142"/>
      <c r="D18" s="142"/>
      <c r="E18" s="143"/>
      <c r="F18" s="115"/>
      <c r="G18" s="115"/>
      <c r="H18" s="115"/>
      <c r="I18" s="144"/>
      <c r="J18" s="144"/>
      <c r="K18" s="115"/>
      <c r="L18" s="115"/>
      <c r="M18" s="118"/>
      <c r="N18" s="144"/>
      <c r="O18" s="118"/>
      <c r="P18" s="116"/>
      <c r="Q18" s="115"/>
      <c r="R18" s="116"/>
      <c r="S18" s="116"/>
      <c r="T18" s="119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</row>
    <row r="19" spans="2:52" ht="19.5" customHeight="1">
      <c r="B19" s="114"/>
      <c r="C19" s="142"/>
      <c r="D19" s="142"/>
      <c r="E19" s="114"/>
      <c r="F19" s="115"/>
      <c r="G19" s="115"/>
      <c r="H19" s="115"/>
      <c r="I19" s="116"/>
      <c r="J19" s="116"/>
      <c r="K19" s="115"/>
      <c r="L19" s="115"/>
      <c r="M19" s="117"/>
      <c r="N19" s="116"/>
      <c r="O19" s="118"/>
      <c r="P19" s="116"/>
      <c r="Q19" s="115"/>
      <c r="R19" s="116"/>
      <c r="S19" s="116"/>
      <c r="T19" s="119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</row>
    <row r="20" spans="2:52" ht="19.5" customHeight="1">
      <c r="B20" s="145" t="s">
        <v>39</v>
      </c>
      <c r="C20" s="142"/>
      <c r="D20" s="142"/>
      <c r="E20" s="114"/>
      <c r="F20" s="115"/>
      <c r="G20" s="115"/>
      <c r="H20" s="115"/>
      <c r="I20" s="116"/>
      <c r="J20" s="116"/>
      <c r="K20" s="115"/>
      <c r="L20" s="115"/>
      <c r="M20" s="117"/>
      <c r="N20" s="116"/>
      <c r="O20" s="118"/>
      <c r="P20" s="116"/>
      <c r="Q20" s="115"/>
      <c r="R20" s="116"/>
      <c r="S20" s="116"/>
      <c r="T20" s="119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</row>
    <row r="21" spans="2:52" ht="19.5" customHeight="1" thickBot="1">
      <c r="B21" s="146" t="s">
        <v>38</v>
      </c>
      <c r="C21" s="147"/>
      <c r="D21" s="147"/>
      <c r="E21" s="148"/>
      <c r="F21" s="149"/>
      <c r="G21" s="149"/>
      <c r="H21" s="149"/>
      <c r="I21" s="150"/>
      <c r="J21" s="150"/>
      <c r="K21" s="149"/>
      <c r="L21" s="149"/>
      <c r="M21" s="151"/>
      <c r="N21" s="150"/>
      <c r="O21" s="152"/>
      <c r="P21" s="150"/>
      <c r="Q21" s="149"/>
      <c r="R21" s="150"/>
      <c r="S21" s="150"/>
      <c r="T21" s="153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</row>
    <row r="22" ht="19.5" customHeight="1">
      <c r="B22" s="168" t="s">
        <v>152</v>
      </c>
    </row>
  </sheetData>
  <sheetProtection/>
  <printOptions horizontalCentered="1"/>
  <pageMargins left="0.95" right="0.49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O69"/>
  <sheetViews>
    <sheetView showGridLines="0" zoomScale="75" zoomScaleNormal="75" zoomScaleSheetLayoutView="50" zoomScalePageLayoutView="0" workbookViewId="0" topLeftCell="A1">
      <selection activeCell="A4" sqref="A4:O60"/>
    </sheetView>
  </sheetViews>
  <sheetFormatPr defaultColWidth="9.140625" defaultRowHeight="12"/>
  <cols>
    <col min="11" max="11" width="8.7109375" style="0" customWidth="1"/>
  </cols>
  <sheetData>
    <row r="2" spans="1:15" ht="12.7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21"/>
      <c r="L2" s="21"/>
      <c r="M2" s="21"/>
      <c r="N2" s="21"/>
      <c r="O2" s="21"/>
    </row>
    <row r="3" spans="1:15" ht="13.5" customHeight="1">
      <c r="A3" s="22"/>
      <c r="B3" s="18"/>
      <c r="C3" s="23"/>
      <c r="D3" s="23"/>
      <c r="E3" s="23"/>
      <c r="F3" s="23"/>
      <c r="G3" s="23"/>
      <c r="H3" s="23"/>
      <c r="I3" s="22"/>
      <c r="J3" s="22"/>
      <c r="K3" s="21"/>
      <c r="L3" s="21"/>
      <c r="M3" s="21"/>
      <c r="N3" s="21"/>
      <c r="O3" s="21"/>
    </row>
    <row r="4" spans="1:15" ht="15.75">
      <c r="A4" s="198" t="s">
        <v>159</v>
      </c>
      <c r="B4" s="198"/>
      <c r="C4" s="198"/>
      <c r="D4" s="198"/>
      <c r="E4" s="198"/>
      <c r="F4" s="198"/>
      <c r="G4" s="198"/>
      <c r="H4" s="198"/>
      <c r="I4" s="198"/>
      <c r="J4" s="198"/>
      <c r="K4" s="24"/>
      <c r="L4" s="21"/>
      <c r="M4" s="21"/>
      <c r="N4" s="21"/>
      <c r="O4" s="21"/>
    </row>
    <row r="5" spans="1:15" ht="12.75">
      <c r="A5" s="25"/>
      <c r="B5" s="26"/>
      <c r="C5" s="26"/>
      <c r="D5" s="26"/>
      <c r="E5" s="26"/>
      <c r="F5" s="26"/>
      <c r="G5" s="26"/>
      <c r="H5" s="26"/>
      <c r="I5" s="26"/>
      <c r="J5" s="26"/>
      <c r="K5" s="24"/>
      <c r="L5" s="21"/>
      <c r="M5" s="21"/>
      <c r="N5" s="21"/>
      <c r="O5" s="21"/>
    </row>
    <row r="6" spans="1:15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ht="15.75">
      <c r="A34" s="198" t="s">
        <v>160</v>
      </c>
      <c r="B34" s="198"/>
      <c r="C34" s="198"/>
      <c r="D34" s="198"/>
      <c r="E34" s="198"/>
      <c r="F34" s="198"/>
      <c r="G34" s="198"/>
      <c r="H34" s="198"/>
      <c r="I34" s="198"/>
      <c r="J34" s="198"/>
      <c r="K34" s="24"/>
      <c r="L34" s="21"/>
      <c r="M34" s="21"/>
      <c r="N34" s="21"/>
      <c r="O34" s="21"/>
    </row>
    <row r="35" spans="1:15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</sheetData>
  <sheetProtection/>
  <mergeCells count="3">
    <mergeCell ref="A2:J2"/>
    <mergeCell ref="A4:J4"/>
    <mergeCell ref="A34:J34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2:I102"/>
  <sheetViews>
    <sheetView tabSelected="1" zoomScalePageLayoutView="0" workbookViewId="0" topLeftCell="A92">
      <selection activeCell="B77" sqref="B77:F105"/>
    </sheetView>
  </sheetViews>
  <sheetFormatPr defaultColWidth="9.140625" defaultRowHeight="12"/>
  <cols>
    <col min="2" max="2" width="49.421875" style="0" customWidth="1"/>
    <col min="5" max="5" width="13.00390625" style="0" bestFit="1" customWidth="1"/>
    <col min="6" max="6" width="11.28125" style="0" customWidth="1"/>
  </cols>
  <sheetData>
    <row r="1" ht="12" thickBot="1"/>
    <row r="2" spans="2:6" ht="11.25">
      <c r="B2" s="199" t="s">
        <v>93</v>
      </c>
      <c r="C2" s="199"/>
      <c r="D2" s="199"/>
      <c r="E2" s="199"/>
      <c r="F2" s="199"/>
    </row>
    <row r="3" spans="2:6" ht="11.25">
      <c r="B3" s="200" t="s">
        <v>101</v>
      </c>
      <c r="C3" s="200"/>
      <c r="D3" s="200"/>
      <c r="E3" s="200"/>
      <c r="F3" s="200"/>
    </row>
    <row r="4" spans="2:6" ht="11.25">
      <c r="B4" s="64"/>
      <c r="C4" s="65"/>
      <c r="D4" s="65"/>
      <c r="E4" s="63" t="s">
        <v>94</v>
      </c>
      <c r="F4" s="77" t="s">
        <v>111</v>
      </c>
    </row>
    <row r="5" spans="2:6" ht="11.25">
      <c r="B5" s="66"/>
      <c r="C5" s="67">
        <v>39141</v>
      </c>
      <c r="D5" s="67">
        <v>39172</v>
      </c>
      <c r="E5" s="68" t="s">
        <v>46</v>
      </c>
      <c r="F5" s="68" t="s">
        <v>46</v>
      </c>
    </row>
    <row r="6" spans="2:6" ht="11.25">
      <c r="B6" s="163" t="s">
        <v>60</v>
      </c>
      <c r="C6" s="103">
        <v>6838.367329439998</v>
      </c>
      <c r="D6" s="103">
        <v>8049.968718929998</v>
      </c>
      <c r="E6" s="103">
        <v>1211.6013894900007</v>
      </c>
      <c r="F6" s="105">
        <v>17.717699724522113</v>
      </c>
    </row>
    <row r="7" spans="2:6" ht="11.25">
      <c r="B7" s="163" t="s">
        <v>61</v>
      </c>
      <c r="C7" s="103">
        <v>4875.582586399998</v>
      </c>
      <c r="D7" s="103">
        <v>6094.718608359999</v>
      </c>
      <c r="E7" s="103">
        <v>1219.136021960001</v>
      </c>
      <c r="F7" s="105">
        <v>25.00493018743385</v>
      </c>
    </row>
    <row r="8" spans="2:6" ht="11.25">
      <c r="B8" s="164" t="s">
        <v>62</v>
      </c>
      <c r="C8" s="104">
        <v>4625.952165599999</v>
      </c>
      <c r="D8" s="104">
        <v>5985.5878600999995</v>
      </c>
      <c r="E8" s="104">
        <v>1359.6356945000007</v>
      </c>
      <c r="F8" s="106">
        <v>29.39147759915611</v>
      </c>
    </row>
    <row r="9" spans="2:6" ht="11.25">
      <c r="B9" s="164" t="s">
        <v>63</v>
      </c>
      <c r="C9" s="104">
        <v>3E-08</v>
      </c>
      <c r="D9" s="104">
        <v>2E-08</v>
      </c>
      <c r="E9" s="104">
        <v>-9.999999999999997E-09</v>
      </c>
      <c r="F9" s="106">
        <v>0</v>
      </c>
    </row>
    <row r="10" spans="2:6" ht="11.25">
      <c r="B10" s="164" t="s">
        <v>64</v>
      </c>
      <c r="C10" s="104">
        <v>249.63042077</v>
      </c>
      <c r="D10" s="104">
        <v>109.13074823999999</v>
      </c>
      <c r="E10" s="104">
        <v>-140.49967253</v>
      </c>
      <c r="F10" s="106">
        <v>-56.283073231467675</v>
      </c>
    </row>
    <row r="11" spans="2:6" ht="11.25">
      <c r="B11" s="163" t="s">
        <v>65</v>
      </c>
      <c r="C11" s="103">
        <v>1962.78474304</v>
      </c>
      <c r="D11" s="103">
        <v>1955.2501105699998</v>
      </c>
      <c r="E11" s="103">
        <v>-7.534632470000133</v>
      </c>
      <c r="F11" s="105">
        <v>-0.3838746198083008</v>
      </c>
    </row>
    <row r="12" spans="2:6" ht="11.25">
      <c r="B12" s="164" t="s">
        <v>143</v>
      </c>
      <c r="C12" s="104">
        <v>1947.41105324</v>
      </c>
      <c r="D12" s="104">
        <v>1938.7633244699998</v>
      </c>
      <c r="E12" s="104">
        <v>-8.647728770000185</v>
      </c>
      <c r="F12" s="106">
        <v>-0.4440628369451098</v>
      </c>
    </row>
    <row r="13" spans="2:6" ht="11.25">
      <c r="B13" s="164" t="s">
        <v>95</v>
      </c>
      <c r="C13" s="104">
        <v>0</v>
      </c>
      <c r="D13" s="104">
        <v>0</v>
      </c>
      <c r="E13" s="104">
        <v>0</v>
      </c>
      <c r="F13" s="106">
        <v>0</v>
      </c>
    </row>
    <row r="14" spans="2:6" ht="11.25">
      <c r="B14" s="164" t="s">
        <v>66</v>
      </c>
      <c r="C14" s="104">
        <v>15.373689800000001</v>
      </c>
      <c r="D14" s="104">
        <v>16.4867861</v>
      </c>
      <c r="E14" s="104">
        <v>1.1130962999999987</v>
      </c>
      <c r="F14" s="106">
        <v>7.2402677202450025</v>
      </c>
    </row>
    <row r="15" spans="2:6" ht="11.25">
      <c r="B15" s="165"/>
      <c r="C15" s="103"/>
      <c r="D15" s="103"/>
      <c r="E15" s="103"/>
      <c r="F15" s="105"/>
    </row>
    <row r="16" spans="2:6" ht="11.25">
      <c r="B16" s="163" t="s">
        <v>67</v>
      </c>
      <c r="C16" s="103">
        <v>6838.374054530001</v>
      </c>
      <c r="D16" s="103">
        <v>8049.954961636001</v>
      </c>
      <c r="E16" s="103">
        <v>1211.5809071060003</v>
      </c>
      <c r="F16" s="105">
        <v>17.717382779074548</v>
      </c>
    </row>
    <row r="17" spans="2:6" ht="11.25">
      <c r="B17" s="163" t="s">
        <v>68</v>
      </c>
      <c r="C17" s="103">
        <v>1374.1220721700008</v>
      </c>
      <c r="D17" s="103">
        <v>1452.5738078600018</v>
      </c>
      <c r="E17" s="103">
        <v>78.45173569000099</v>
      </c>
      <c r="F17" s="105">
        <v>5.709226078154085</v>
      </c>
    </row>
    <row r="18" spans="2:6" ht="11.25">
      <c r="B18" s="164" t="s">
        <v>69</v>
      </c>
      <c r="C18" s="104">
        <v>1002.4190533999999</v>
      </c>
      <c r="D18" s="104">
        <v>1046.47525315</v>
      </c>
      <c r="E18" s="104">
        <v>44.05619975000013</v>
      </c>
      <c r="F18" s="106">
        <v>4.394988263697756</v>
      </c>
    </row>
    <row r="19" spans="2:6" ht="11.25">
      <c r="B19" s="164" t="s">
        <v>70</v>
      </c>
      <c r="C19" s="104">
        <v>371.7030187700009</v>
      </c>
      <c r="D19" s="104">
        <v>406.09855471000174</v>
      </c>
      <c r="E19" s="104">
        <v>34.395535940000855</v>
      </c>
      <c r="F19" s="106">
        <v>9.253499219301155</v>
      </c>
    </row>
    <row r="20" spans="2:6" ht="11.25">
      <c r="B20" s="163" t="s">
        <v>144</v>
      </c>
      <c r="C20" s="103">
        <v>5208.49581548</v>
      </c>
      <c r="D20" s="103">
        <v>6346.804023569999</v>
      </c>
      <c r="E20" s="103">
        <v>1138.3082080899994</v>
      </c>
      <c r="F20" s="105">
        <v>21.85483579936593</v>
      </c>
    </row>
    <row r="21" spans="2:6" ht="11.25">
      <c r="B21" s="164" t="s">
        <v>96</v>
      </c>
      <c r="C21" s="104">
        <v>4125.35532972</v>
      </c>
      <c r="D21" s="104">
        <v>5155.0498934199995</v>
      </c>
      <c r="E21" s="104">
        <v>1029.6945637</v>
      </c>
      <c r="F21" s="106">
        <v>24.96014237323621</v>
      </c>
    </row>
    <row r="22" spans="2:6" ht="11.25">
      <c r="B22" s="166" t="s">
        <v>71</v>
      </c>
      <c r="C22" s="104">
        <v>1083.14048576</v>
      </c>
      <c r="D22" s="104">
        <v>1191.75413015</v>
      </c>
      <c r="E22" s="104">
        <v>108.61364438999999</v>
      </c>
      <c r="F22" s="106">
        <v>10.027659922045085</v>
      </c>
    </row>
    <row r="23" spans="2:6" ht="11.25">
      <c r="B23" s="104" t="s">
        <v>0</v>
      </c>
      <c r="C23" s="104">
        <v>4.44184448</v>
      </c>
      <c r="D23" s="104">
        <v>2.33328077</v>
      </c>
      <c r="E23" s="104">
        <v>-2.1085637100000003</v>
      </c>
      <c r="F23" s="106">
        <v>-47.470453310422975</v>
      </c>
    </row>
    <row r="24" spans="2:6" ht="11.25">
      <c r="B24" s="104" t="s">
        <v>146</v>
      </c>
      <c r="C24" s="104">
        <v>409.21437077</v>
      </c>
      <c r="D24" s="104">
        <v>404.70397604</v>
      </c>
      <c r="E24" s="104">
        <v>-4.51039473000003</v>
      </c>
      <c r="F24" s="106">
        <v>-1.1022082928106913</v>
      </c>
    </row>
    <row r="25" spans="2:6" ht="11.25">
      <c r="B25" s="103" t="s">
        <v>129</v>
      </c>
      <c r="C25" s="103">
        <v>-157.90004837000004</v>
      </c>
      <c r="D25" s="103">
        <v>-156.460126604</v>
      </c>
      <c r="E25" s="103">
        <v>1.439921766000026</v>
      </c>
      <c r="F25" s="105">
        <v>-0.9119197751136355</v>
      </c>
    </row>
    <row r="26" spans="2:6" ht="12" customHeight="1" hidden="1" thickBot="1">
      <c r="B26" s="167" t="s">
        <v>90</v>
      </c>
      <c r="C26" s="158">
        <v>-0.01859214999967662</v>
      </c>
      <c r="D26" s="158">
        <v>-0.04520076000062545</v>
      </c>
      <c r="E26" s="158">
        <v>-0.02660861000094883</v>
      </c>
      <c r="F26" s="158">
        <v>-0.0005888019195889882</v>
      </c>
    </row>
    <row r="27" spans="2:6" ht="11.25">
      <c r="B27" s="71"/>
      <c r="C27" s="72"/>
      <c r="D27" s="72"/>
      <c r="E27" s="72"/>
      <c r="F27" s="73"/>
    </row>
    <row r="28" spans="2:6" ht="11.25">
      <c r="B28" s="71"/>
      <c r="C28" s="72"/>
      <c r="D28" s="72"/>
      <c r="E28" s="72"/>
      <c r="F28" s="73"/>
    </row>
    <row r="29" spans="2:6" ht="12" thickBot="1">
      <c r="B29" s="71"/>
      <c r="C29" s="72"/>
      <c r="D29" s="72"/>
      <c r="E29" s="72"/>
      <c r="F29" s="73"/>
    </row>
    <row r="30" spans="2:6" ht="11.25">
      <c r="B30" s="199" t="s">
        <v>93</v>
      </c>
      <c r="C30" s="199"/>
      <c r="D30" s="199"/>
      <c r="E30" s="199"/>
      <c r="F30" s="199"/>
    </row>
    <row r="31" spans="2:6" ht="11.25">
      <c r="B31" s="200" t="s">
        <v>72</v>
      </c>
      <c r="C31" s="200"/>
      <c r="D31" s="200"/>
      <c r="E31" s="200"/>
      <c r="F31" s="200"/>
    </row>
    <row r="32" spans="2:6" ht="11.25">
      <c r="B32" s="64"/>
      <c r="C32" s="64"/>
      <c r="D32" s="65"/>
      <c r="E32" s="63" t="s">
        <v>94</v>
      </c>
      <c r="F32" s="77" t="s">
        <v>111</v>
      </c>
    </row>
    <row r="33" spans="2:6" ht="11.25">
      <c r="B33" s="66"/>
      <c r="C33" s="67">
        <v>39141</v>
      </c>
      <c r="D33" s="67">
        <v>39172</v>
      </c>
      <c r="E33" s="68" t="s">
        <v>46</v>
      </c>
      <c r="F33" s="68" t="s">
        <v>46</v>
      </c>
    </row>
    <row r="34" spans="2:6" ht="11.25">
      <c r="B34" s="52" t="s">
        <v>60</v>
      </c>
      <c r="C34" s="103">
        <v>37735.74215215438</v>
      </c>
      <c r="D34" s="103">
        <v>37405.98648733356</v>
      </c>
      <c r="E34" s="103">
        <v>-329.7556648208192</v>
      </c>
      <c r="F34" s="105">
        <v>-0.8738549873783072</v>
      </c>
    </row>
    <row r="35" spans="2:6" ht="11.25">
      <c r="B35" s="52" t="s">
        <v>61</v>
      </c>
      <c r="C35" s="103">
        <v>2549.56154451</v>
      </c>
      <c r="D35" s="103">
        <v>2198.930743133562</v>
      </c>
      <c r="E35" s="103">
        <v>-350.6308013764383</v>
      </c>
      <c r="F35" s="105">
        <v>-13.752592171444364</v>
      </c>
    </row>
    <row r="36" spans="2:6" ht="11.25">
      <c r="B36" s="70" t="s">
        <v>73</v>
      </c>
      <c r="C36" s="104">
        <v>80.58670862999999</v>
      </c>
      <c r="D36" s="104">
        <v>53.67970863</v>
      </c>
      <c r="E36" s="104">
        <v>-26.90699999999999</v>
      </c>
      <c r="F36" s="106">
        <v>-33.38888069438206</v>
      </c>
    </row>
    <row r="37" spans="2:6" ht="11.25">
      <c r="B37" s="70" t="s">
        <v>62</v>
      </c>
      <c r="C37" s="104">
        <v>2423.27283588</v>
      </c>
      <c r="D37" s="104">
        <v>2004.3510345035618</v>
      </c>
      <c r="E37" s="104">
        <v>-418.9218013764382</v>
      </c>
      <c r="F37" s="106">
        <v>-17.287438507695267</v>
      </c>
    </row>
    <row r="38" spans="2:6" ht="11.25">
      <c r="B38" s="70" t="s">
        <v>74</v>
      </c>
      <c r="C38" s="104">
        <v>45.702</v>
      </c>
      <c r="D38" s="104">
        <v>46.187</v>
      </c>
      <c r="E38" s="104">
        <v>0.48499999999999943</v>
      </c>
      <c r="F38" s="106">
        <v>1.0612227036015918</v>
      </c>
    </row>
    <row r="39" spans="2:6" ht="11.25">
      <c r="B39" s="70" t="s">
        <v>75</v>
      </c>
      <c r="C39" s="104">
        <v>0</v>
      </c>
      <c r="D39" s="104">
        <v>94.713</v>
      </c>
      <c r="E39" s="104">
        <v>94.713</v>
      </c>
      <c r="F39" s="106">
        <v>0</v>
      </c>
    </row>
    <row r="40" spans="2:6" ht="11.25">
      <c r="B40" s="52" t="s">
        <v>65</v>
      </c>
      <c r="C40" s="103">
        <v>32973.26360567</v>
      </c>
      <c r="D40" s="103">
        <v>33727.95615667</v>
      </c>
      <c r="E40" s="103">
        <v>754.6925510000001</v>
      </c>
      <c r="F40" s="105">
        <v>2.2888014969504717</v>
      </c>
    </row>
    <row r="41" spans="2:6" ht="11.25">
      <c r="B41" s="70" t="s">
        <v>97</v>
      </c>
      <c r="C41" s="104">
        <v>627.043483</v>
      </c>
      <c r="D41" s="104">
        <v>654.9327118799999</v>
      </c>
      <c r="E41" s="104">
        <v>27.889228879999905</v>
      </c>
      <c r="F41" s="106">
        <v>4.44773442928836</v>
      </c>
    </row>
    <row r="42" spans="2:6" ht="11.25">
      <c r="B42" s="70" t="s">
        <v>95</v>
      </c>
      <c r="C42" s="104">
        <v>2914.3967585499995</v>
      </c>
      <c r="D42" s="104">
        <v>3098.8368532599998</v>
      </c>
      <c r="E42" s="104">
        <v>184.44009471000027</v>
      </c>
      <c r="F42" s="106">
        <v>6.328585638482688</v>
      </c>
    </row>
    <row r="43" spans="2:6" ht="11.25">
      <c r="B43" s="70" t="s">
        <v>53</v>
      </c>
      <c r="C43" s="104">
        <v>660.8140000000001</v>
      </c>
      <c r="D43" s="104">
        <v>1017.3389999999999</v>
      </c>
      <c r="E43" s="104">
        <v>356.525</v>
      </c>
      <c r="F43" s="106">
        <v>53.95239810294573</v>
      </c>
    </row>
    <row r="44" spans="2:6" ht="11.25">
      <c r="B44" s="70" t="s">
        <v>98</v>
      </c>
      <c r="C44" s="104">
        <v>59.693</v>
      </c>
      <c r="D44" s="104">
        <v>24.004</v>
      </c>
      <c r="E44" s="104">
        <v>-35.68899999999999</v>
      </c>
      <c r="F44" s="106">
        <v>-59.78757978322415</v>
      </c>
    </row>
    <row r="45" spans="2:6" ht="11.25">
      <c r="B45" s="70" t="s">
        <v>108</v>
      </c>
      <c r="C45" s="104">
        <v>264.363</v>
      </c>
      <c r="D45" s="104">
        <v>332.909</v>
      </c>
      <c r="E45" s="104">
        <v>68.54599999999999</v>
      </c>
      <c r="F45" s="106">
        <v>25.92874191925496</v>
      </c>
    </row>
    <row r="46" spans="2:6" ht="11.25">
      <c r="B46" s="70" t="s">
        <v>76</v>
      </c>
      <c r="C46" s="104">
        <v>10005.83920955</v>
      </c>
      <c r="D46" s="104">
        <v>9915.07399019</v>
      </c>
      <c r="E46" s="104">
        <v>-90.76521936000063</v>
      </c>
      <c r="F46" s="106">
        <v>-0.9071225057601409</v>
      </c>
    </row>
    <row r="47" spans="2:6" ht="11.25">
      <c r="B47" s="70" t="s">
        <v>54</v>
      </c>
      <c r="C47" s="104">
        <v>18441.11415457</v>
      </c>
      <c r="D47" s="104">
        <v>18684.86060134</v>
      </c>
      <c r="E47" s="104">
        <v>243.74644676999742</v>
      </c>
      <c r="F47" s="106">
        <v>1.3217555334615896</v>
      </c>
    </row>
    <row r="48" spans="2:6" ht="11.25">
      <c r="B48" s="74" t="s">
        <v>77</v>
      </c>
      <c r="C48" s="103">
        <v>2212.9170019743838</v>
      </c>
      <c r="D48" s="103">
        <v>1479.09958753</v>
      </c>
      <c r="E48" s="103">
        <v>-733.8174144443838</v>
      </c>
      <c r="F48" s="105">
        <v>-33.16063882150417</v>
      </c>
    </row>
    <row r="49" spans="2:6" ht="11.25">
      <c r="B49" s="75"/>
      <c r="C49" s="103"/>
      <c r="D49" s="103"/>
      <c r="E49" s="103"/>
      <c r="F49" s="106"/>
    </row>
    <row r="50" spans="2:6" ht="11.25">
      <c r="B50" s="52" t="s">
        <v>67</v>
      </c>
      <c r="C50" s="103">
        <v>37735.742152692605</v>
      </c>
      <c r="D50" s="103">
        <v>37405.98668419986</v>
      </c>
      <c r="E50" s="103">
        <v>-329.7554684927454</v>
      </c>
      <c r="F50" s="105">
        <v>-0.8738544670949739</v>
      </c>
    </row>
    <row r="51" spans="2:6" ht="11.25">
      <c r="B51" s="74" t="s">
        <v>78</v>
      </c>
      <c r="C51" s="103">
        <v>957.83117611</v>
      </c>
      <c r="D51" s="103">
        <v>1000.474265793</v>
      </c>
      <c r="E51" s="103">
        <v>42.64308968299997</v>
      </c>
      <c r="F51" s="105">
        <v>4.452046534566204</v>
      </c>
    </row>
    <row r="52" spans="2:6" ht="11.25">
      <c r="B52" s="70" t="s">
        <v>62</v>
      </c>
      <c r="C52" s="104">
        <v>277.47715532</v>
      </c>
      <c r="D52" s="104">
        <v>332.773244993</v>
      </c>
      <c r="E52" s="104">
        <v>55.29608967299998</v>
      </c>
      <c r="F52" s="106">
        <v>19.9281593503544</v>
      </c>
    </row>
    <row r="53" spans="2:6" ht="11.25">
      <c r="B53" s="70" t="s">
        <v>130</v>
      </c>
      <c r="C53" s="104">
        <v>461.316</v>
      </c>
      <c r="D53" s="104">
        <v>455.018</v>
      </c>
      <c r="E53" s="104">
        <v>-6.298000000000002</v>
      </c>
      <c r="F53" s="106">
        <v>-1.3652247049744648</v>
      </c>
    </row>
    <row r="54" spans="2:6" ht="11.25">
      <c r="B54" s="70" t="s">
        <v>74</v>
      </c>
      <c r="C54" s="104">
        <v>219.03802079</v>
      </c>
      <c r="D54" s="104">
        <v>212.68302079999998</v>
      </c>
      <c r="E54" s="104">
        <v>-6.35499999000001</v>
      </c>
      <c r="F54" s="106">
        <v>-2.9013227781549342</v>
      </c>
    </row>
    <row r="55" spans="2:6" ht="11.25">
      <c r="B55" s="70" t="s">
        <v>79</v>
      </c>
      <c r="C55" s="104">
        <v>0</v>
      </c>
      <c r="D55" s="104">
        <v>0</v>
      </c>
      <c r="E55" s="104">
        <v>0</v>
      </c>
      <c r="F55" s="106">
        <v>0</v>
      </c>
    </row>
    <row r="56" spans="2:6" ht="11.25">
      <c r="B56" s="52" t="s">
        <v>80</v>
      </c>
      <c r="C56" s="103">
        <v>36777.91097658261</v>
      </c>
      <c r="D56" s="103">
        <v>36405.51241840686</v>
      </c>
      <c r="E56" s="103">
        <v>-372.39855817574426</v>
      </c>
      <c r="F56" s="105">
        <v>-1.0125603882527736</v>
      </c>
    </row>
    <row r="57" spans="2:6" ht="11.25">
      <c r="B57" s="70" t="s">
        <v>81</v>
      </c>
      <c r="C57" s="104">
        <v>22304.100423820004</v>
      </c>
      <c r="D57" s="104">
        <v>21786.087017897</v>
      </c>
      <c r="E57" s="104">
        <v>-518.013405923004</v>
      </c>
      <c r="F57" s="106">
        <v>-2.3225030199818493</v>
      </c>
    </row>
    <row r="58" spans="2:6" ht="11.25">
      <c r="B58" s="76" t="s">
        <v>82</v>
      </c>
      <c r="C58" s="104">
        <v>13903.626132910002</v>
      </c>
      <c r="D58" s="104">
        <v>14029.42486284</v>
      </c>
      <c r="E58" s="104">
        <v>125.79872992999844</v>
      </c>
      <c r="F58" s="106">
        <v>0.9047907986552642</v>
      </c>
    </row>
    <row r="59" spans="2:6" ht="11.25">
      <c r="B59" s="76" t="s">
        <v>79</v>
      </c>
      <c r="C59" s="104">
        <v>8400.47429091</v>
      </c>
      <c r="D59" s="104">
        <v>7756.662155057</v>
      </c>
      <c r="E59" s="104">
        <v>-643.8121358530007</v>
      </c>
      <c r="F59" s="106">
        <v>-7.663997454877731</v>
      </c>
    </row>
    <row r="60" spans="2:6" ht="11.25">
      <c r="B60" s="70" t="s">
        <v>166</v>
      </c>
      <c r="C60" s="104">
        <v>806.2667169</v>
      </c>
      <c r="D60" s="104">
        <v>855.78183937</v>
      </c>
      <c r="E60" s="104">
        <v>49.51512246999994</v>
      </c>
      <c r="F60" s="106">
        <v>6.141283204691832</v>
      </c>
    </row>
    <row r="61" spans="2:6" ht="11.25">
      <c r="B61" s="70" t="s">
        <v>131</v>
      </c>
      <c r="C61" s="104">
        <v>5.94775818</v>
      </c>
      <c r="D61" s="104">
        <v>5.94775818</v>
      </c>
      <c r="E61" s="104">
        <v>0</v>
      </c>
      <c r="F61" s="106">
        <v>0</v>
      </c>
    </row>
    <row r="62" spans="2:6" ht="11.25">
      <c r="B62" s="70" t="s">
        <v>132</v>
      </c>
      <c r="C62" s="104">
        <v>4543.318335616438</v>
      </c>
      <c r="D62" s="104">
        <v>4957.7237613698635</v>
      </c>
      <c r="E62" s="104">
        <v>414.40542575342533</v>
      </c>
      <c r="F62" s="106">
        <v>9.121206024785378</v>
      </c>
    </row>
    <row r="63" spans="2:6" ht="11.25">
      <c r="B63" s="70" t="s">
        <v>133</v>
      </c>
      <c r="C63" s="104">
        <v>620.5661822317809</v>
      </c>
      <c r="D63" s="104">
        <v>624.228531159589</v>
      </c>
      <c r="E63" s="104">
        <v>3.662348927808125</v>
      </c>
      <c r="F63" s="106">
        <v>0.5901625052523796</v>
      </c>
    </row>
    <row r="64" spans="2:6" ht="11.25">
      <c r="B64" s="70" t="s">
        <v>134</v>
      </c>
      <c r="C64" s="104">
        <v>1752.8626215099998</v>
      </c>
      <c r="D64" s="104">
        <v>1939.6458145</v>
      </c>
      <c r="E64" s="104">
        <v>186.7831929900001</v>
      </c>
      <c r="F64" s="106">
        <v>10.655894574846721</v>
      </c>
    </row>
    <row r="65" spans="2:6" ht="11.25">
      <c r="B65" s="70" t="s">
        <v>74</v>
      </c>
      <c r="C65" s="104">
        <v>5.329</v>
      </c>
      <c r="D65" s="104">
        <v>5.345</v>
      </c>
      <c r="E65" s="104">
        <v>0.016000000000000014</v>
      </c>
      <c r="F65" s="106">
        <v>0.3002439482079192</v>
      </c>
    </row>
    <row r="66" spans="2:6" ht="11.25">
      <c r="B66" s="70" t="s">
        <v>99</v>
      </c>
      <c r="C66" s="104">
        <v>0</v>
      </c>
      <c r="D66" s="104">
        <v>0</v>
      </c>
      <c r="E66" s="104">
        <v>0</v>
      </c>
      <c r="F66" s="106">
        <v>0</v>
      </c>
    </row>
    <row r="67" spans="2:6" ht="11.25">
      <c r="B67" s="70" t="s">
        <v>83</v>
      </c>
      <c r="C67" s="104">
        <v>4509.35916143</v>
      </c>
      <c r="D67" s="104">
        <v>4279.1206532100005</v>
      </c>
      <c r="E67" s="104">
        <v>-230.23850821999986</v>
      </c>
      <c r="F67" s="106">
        <v>-5.105792197465749</v>
      </c>
    </row>
    <row r="68" spans="2:6" ht="11.25">
      <c r="B68" s="70" t="s">
        <v>135</v>
      </c>
      <c r="C68" s="104">
        <v>2227.32661302</v>
      </c>
      <c r="D68" s="104">
        <v>1948.37731666</v>
      </c>
      <c r="E68" s="104">
        <v>-278.94929636000006</v>
      </c>
      <c r="F68" s="106">
        <v>-12.523951122811608</v>
      </c>
    </row>
    <row r="69" spans="2:6" ht="11.25">
      <c r="B69" s="70" t="s">
        <v>136</v>
      </c>
      <c r="C69" s="104">
        <v>2.8341638743835063</v>
      </c>
      <c r="D69" s="104">
        <v>3.254726060411059</v>
      </c>
      <c r="E69" s="104">
        <v>0.4205621860275528</v>
      </c>
      <c r="F69" s="106">
        <v>14.839021477508405</v>
      </c>
    </row>
    <row r="70" spans="2:6" ht="12" customHeight="1" hidden="1" thickBot="1">
      <c r="B70" s="70" t="s">
        <v>136</v>
      </c>
      <c r="C70" s="104"/>
      <c r="D70" s="104"/>
      <c r="E70" s="104"/>
      <c r="F70" s="55">
        <v>2733.0121522821037</v>
      </c>
    </row>
    <row r="71" spans="2:6" ht="12" customHeight="1" hidden="1">
      <c r="B71" s="17"/>
      <c r="C71" s="159">
        <v>-0.0001529200017102994</v>
      </c>
      <c r="D71" s="159">
        <v>7.900999844423495E-05</v>
      </c>
      <c r="E71" s="159">
        <v>0.00023193000015453435</v>
      </c>
      <c r="F71" s="52"/>
    </row>
    <row r="72" spans="2:6" ht="12" customHeight="1">
      <c r="B72" s="17"/>
      <c r="C72" s="103"/>
      <c r="D72" s="103"/>
      <c r="E72" s="52"/>
      <c r="F72" s="52"/>
    </row>
    <row r="73" spans="2:6" ht="12" customHeight="1">
      <c r="B73" s="70"/>
      <c r="C73" s="103"/>
      <c r="D73" s="103"/>
      <c r="E73" s="52"/>
      <c r="F73" s="52"/>
    </row>
    <row r="74" ht="11.25">
      <c r="B74" s="96"/>
    </row>
    <row r="75" ht="11.25">
      <c r="B75" s="90"/>
    </row>
    <row r="76" ht="12" thickBot="1">
      <c r="B76" s="90"/>
    </row>
    <row r="77" spans="2:6" ht="11.25">
      <c r="B77" s="199" t="s">
        <v>151</v>
      </c>
      <c r="C77" s="199"/>
      <c r="D77" s="199"/>
      <c r="E77" s="199"/>
      <c r="F77" s="199"/>
    </row>
    <row r="78" spans="2:6" ht="11.25">
      <c r="B78" s="200" t="s">
        <v>92</v>
      </c>
      <c r="C78" s="200"/>
      <c r="D78" s="200"/>
      <c r="E78" s="200"/>
      <c r="F78" s="200"/>
    </row>
    <row r="79" spans="2:6" ht="11.25">
      <c r="B79" s="64"/>
      <c r="C79" s="65"/>
      <c r="D79" s="65"/>
      <c r="E79" s="63" t="s">
        <v>94</v>
      </c>
      <c r="F79" s="77" t="s">
        <v>111</v>
      </c>
    </row>
    <row r="80" spans="2:6" ht="11.25">
      <c r="B80" s="66"/>
      <c r="C80" s="67">
        <v>39141</v>
      </c>
      <c r="D80" s="67">
        <v>39172</v>
      </c>
      <c r="E80" s="68" t="s">
        <v>46</v>
      </c>
      <c r="F80" s="68" t="s">
        <v>46</v>
      </c>
    </row>
    <row r="81" spans="2:9" ht="11.25">
      <c r="B81" s="51" t="s">
        <v>60</v>
      </c>
      <c r="C81" s="103">
        <v>36106.18103849261</v>
      </c>
      <c r="D81" s="103">
        <v>35939.217578394964</v>
      </c>
      <c r="E81" s="103">
        <v>-166.96346009764238</v>
      </c>
      <c r="F81" s="105">
        <v>-0.4624234834463482</v>
      </c>
      <c r="G81" s="92"/>
      <c r="H81" s="92"/>
      <c r="I81" s="91"/>
    </row>
    <row r="82" spans="2:9" ht="11.25">
      <c r="B82" s="51" t="s">
        <v>1</v>
      </c>
      <c r="C82" s="103">
        <v>6058.098584029998</v>
      </c>
      <c r="D82" s="103">
        <v>6888.471109660561</v>
      </c>
      <c r="E82" s="103">
        <v>830.3725256305624</v>
      </c>
      <c r="F82" s="105">
        <v>13.706817644393269</v>
      </c>
      <c r="G82" s="92"/>
      <c r="H82" s="92"/>
      <c r="I82" s="91"/>
    </row>
    <row r="83" spans="2:8" ht="11.25">
      <c r="B83" s="51" t="s">
        <v>84</v>
      </c>
      <c r="C83" s="103">
        <v>27615.67230051822</v>
      </c>
      <c r="D83" s="103">
        <v>27310.231806310407</v>
      </c>
      <c r="E83" s="103">
        <v>-305.4404942078145</v>
      </c>
      <c r="F83" s="105">
        <v>-1.1060404066356289</v>
      </c>
      <c r="G83" s="93"/>
      <c r="H83" s="93"/>
    </row>
    <row r="84" spans="2:8" ht="11.25">
      <c r="B84" s="53" t="s">
        <v>137</v>
      </c>
      <c r="C84" s="104">
        <v>-1831.5247534017808</v>
      </c>
      <c r="D84" s="104">
        <v>-2680.4415713195885</v>
      </c>
      <c r="E84" s="104">
        <v>-848.9168179178077</v>
      </c>
      <c r="F84" s="106">
        <v>46.35027816801672</v>
      </c>
      <c r="G84" s="93"/>
      <c r="H84" s="93"/>
    </row>
    <row r="85" spans="2:8" ht="11.25">
      <c r="B85" s="53" t="s">
        <v>85</v>
      </c>
      <c r="C85" s="104">
        <v>29447.19705392</v>
      </c>
      <c r="D85" s="104">
        <v>29990.673377629995</v>
      </c>
      <c r="E85" s="104">
        <v>543.4763237099942</v>
      </c>
      <c r="F85" s="106">
        <v>1.845596111286411</v>
      </c>
      <c r="G85" s="93"/>
      <c r="H85" s="93"/>
    </row>
    <row r="86" spans="2:8" ht="11.25">
      <c r="B86" s="160" t="s">
        <v>138</v>
      </c>
      <c r="C86" s="104">
        <v>660.814</v>
      </c>
      <c r="D86" s="104">
        <v>1017.339</v>
      </c>
      <c r="E86" s="104">
        <v>356.525</v>
      </c>
      <c r="F86" s="106">
        <v>53.95239810294578</v>
      </c>
      <c r="G86" s="93"/>
      <c r="H86" s="93"/>
    </row>
    <row r="87" spans="2:8" ht="11.25">
      <c r="B87" s="160" t="s">
        <v>139</v>
      </c>
      <c r="C87" s="104">
        <v>59.693</v>
      </c>
      <c r="D87" s="104">
        <v>24.004</v>
      </c>
      <c r="E87" s="104">
        <v>-35.68899999999999</v>
      </c>
      <c r="F87" s="106">
        <v>-59.78757978322415</v>
      </c>
      <c r="G87" s="93"/>
      <c r="H87" s="93"/>
    </row>
    <row r="88" spans="2:8" ht="11.25">
      <c r="B88" s="160" t="s">
        <v>140</v>
      </c>
      <c r="C88" s="104">
        <v>264.363</v>
      </c>
      <c r="D88" s="104">
        <v>332.909</v>
      </c>
      <c r="E88" s="104">
        <v>68.54599999999999</v>
      </c>
      <c r="F88" s="106">
        <v>25.92874191925496</v>
      </c>
      <c r="G88" s="93"/>
      <c r="H88" s="93"/>
    </row>
    <row r="89" spans="2:8" ht="11.25">
      <c r="B89" s="160" t="s">
        <v>141</v>
      </c>
      <c r="C89" s="104">
        <v>10005.83920955</v>
      </c>
      <c r="D89" s="104">
        <v>9915.07399019</v>
      </c>
      <c r="E89" s="104">
        <v>-90.76521936000063</v>
      </c>
      <c r="F89" s="106">
        <v>-0.9071225057601409</v>
      </c>
      <c r="G89" s="93"/>
      <c r="H89" s="93"/>
    </row>
    <row r="90" spans="2:8" ht="11.25">
      <c r="B90" s="160" t="s">
        <v>142</v>
      </c>
      <c r="C90" s="104">
        <v>18456.48784437</v>
      </c>
      <c r="D90" s="104">
        <v>18701.347387439997</v>
      </c>
      <c r="E90" s="104">
        <v>244.85954306999702</v>
      </c>
      <c r="F90" s="106">
        <v>1.3266854730689697</v>
      </c>
      <c r="G90" s="93"/>
      <c r="H90" s="93"/>
    </row>
    <row r="91" spans="2:9" ht="11.25">
      <c r="B91" s="51" t="s">
        <v>77</v>
      </c>
      <c r="C91" s="103">
        <v>2432.4101539443836</v>
      </c>
      <c r="D91" s="103">
        <v>1740.5146624239999</v>
      </c>
      <c r="E91" s="103">
        <v>-691.8954915203838</v>
      </c>
      <c r="F91" s="105">
        <v>-28.44485295370148</v>
      </c>
      <c r="G91" s="92"/>
      <c r="H91" s="92"/>
      <c r="I91" s="91"/>
    </row>
    <row r="92" spans="2:8" ht="11.25">
      <c r="B92" s="30"/>
      <c r="C92" s="104"/>
      <c r="D92" s="104"/>
      <c r="E92" s="104"/>
      <c r="F92" s="106"/>
      <c r="G92" s="93"/>
      <c r="H92" s="93"/>
    </row>
    <row r="93" spans="2:9" ht="11.25">
      <c r="B93" s="51" t="s">
        <v>67</v>
      </c>
      <c r="C93" s="103">
        <v>36106.203451920825</v>
      </c>
      <c r="D93" s="103">
        <v>35939.219764397276</v>
      </c>
      <c r="E93" s="103">
        <v>-166.98368752354872</v>
      </c>
      <c r="F93" s="105">
        <v>-0.46247921841437833</v>
      </c>
      <c r="G93" s="92"/>
      <c r="H93" s="92"/>
      <c r="I93" s="91"/>
    </row>
    <row r="94" spans="2:8" ht="11.25">
      <c r="B94" s="51" t="s">
        <v>86</v>
      </c>
      <c r="C94" s="103">
        <v>23054.546250100004</v>
      </c>
      <c r="D94" s="103">
        <v>22589.683775737005</v>
      </c>
      <c r="E94" s="103">
        <v>-464.8624743629989</v>
      </c>
      <c r="F94" s="105">
        <v>-2.0163592435092164</v>
      </c>
      <c r="G94" s="93"/>
      <c r="H94" s="93"/>
    </row>
    <row r="95" spans="2:8" ht="11.25">
      <c r="B95" s="53" t="s">
        <v>165</v>
      </c>
      <c r="C95" s="104">
        <v>731.2901204</v>
      </c>
      <c r="D95" s="104">
        <v>797.43821127</v>
      </c>
      <c r="E95" s="104">
        <v>66.14809087000003</v>
      </c>
      <c r="F95" s="106">
        <v>9.045396488307327</v>
      </c>
      <c r="G95" s="93"/>
      <c r="H95" s="93"/>
    </row>
    <row r="96" spans="2:8" ht="11.25">
      <c r="B96" s="53" t="s">
        <v>87</v>
      </c>
      <c r="C96" s="104">
        <v>13916.834080610002</v>
      </c>
      <c r="D96" s="104">
        <v>14029.635651230004</v>
      </c>
      <c r="E96" s="104">
        <v>112.80157062000217</v>
      </c>
      <c r="F96" s="106">
        <v>0.8105404574533653</v>
      </c>
      <c r="G96" s="93"/>
      <c r="H96" s="93"/>
    </row>
    <row r="97" spans="2:8" ht="11.25">
      <c r="B97" s="53" t="s">
        <v>88</v>
      </c>
      <c r="C97" s="104">
        <v>8400.47429091</v>
      </c>
      <c r="D97" s="104">
        <v>7756.662155057</v>
      </c>
      <c r="E97" s="104">
        <v>-643.8121358530007</v>
      </c>
      <c r="F97" s="106">
        <v>-7.663997454877731</v>
      </c>
      <c r="G97" s="93"/>
      <c r="H97" s="93"/>
    </row>
    <row r="98" spans="2:8" ht="11.25">
      <c r="B98" s="53" t="s">
        <v>162</v>
      </c>
      <c r="C98" s="104">
        <v>5.94775818</v>
      </c>
      <c r="D98" s="104">
        <v>5.94775818</v>
      </c>
      <c r="E98" s="104">
        <v>0</v>
      </c>
      <c r="F98" s="106">
        <v>0</v>
      </c>
      <c r="G98" s="93"/>
      <c r="H98" s="93"/>
    </row>
    <row r="99" spans="2:9" ht="11.25">
      <c r="B99" s="30" t="s">
        <v>89</v>
      </c>
      <c r="C99" s="104">
        <v>13057.604960000823</v>
      </c>
      <c r="D99" s="104">
        <v>13355.483746840275</v>
      </c>
      <c r="E99" s="104">
        <v>297.878786839452</v>
      </c>
      <c r="F99" s="106">
        <v>2.281266646922923</v>
      </c>
      <c r="G99" s="92"/>
      <c r="H99" s="92"/>
      <c r="I99" s="91"/>
    </row>
    <row r="100" spans="2:8" ht="11.25">
      <c r="B100" s="30"/>
      <c r="C100" s="17"/>
      <c r="D100" s="17"/>
      <c r="E100" s="52"/>
      <c r="F100" s="69"/>
      <c r="G100" s="93"/>
      <c r="H100" s="93"/>
    </row>
    <row r="101" spans="2:6" ht="12" hidden="1" thickBot="1">
      <c r="B101" s="54" t="s">
        <v>90</v>
      </c>
      <c r="C101" s="55"/>
      <c r="D101" s="55"/>
      <c r="E101" s="55"/>
      <c r="F101" s="55"/>
    </row>
    <row r="102" spans="2:6" ht="11.25">
      <c r="B102" s="40"/>
      <c r="C102" s="40"/>
      <c r="D102" s="40"/>
      <c r="E102" s="40"/>
      <c r="F102" s="40"/>
    </row>
  </sheetData>
  <sheetProtection/>
  <mergeCells count="6">
    <mergeCell ref="B2:F2"/>
    <mergeCell ref="B3:F3"/>
    <mergeCell ref="B77:F77"/>
    <mergeCell ref="B78:F78"/>
    <mergeCell ref="B30:F30"/>
    <mergeCell ref="B31:F31"/>
  </mergeCells>
  <printOptions/>
  <pageMargins left="0.75" right="0.75" top="1" bottom="1" header="0.5" footer="0.5"/>
  <pageSetup fitToHeight="2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hai037</cp:lastModifiedBy>
  <cp:lastPrinted>2007-04-30T07:23:29Z</cp:lastPrinted>
  <dcterms:created xsi:type="dcterms:W3CDTF">1999-07-02T10:21:54Z</dcterms:created>
  <dcterms:modified xsi:type="dcterms:W3CDTF">2007-04-30T07:46:37Z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569358770</vt:i4>
  </property>
  <property fmtid="{D5CDD505-2E9C-101B-9397-08002B2CF9AE}" pid="3" name="_EmailSubject">
    <vt:lpwstr>September   2003.xls</vt:lpwstr>
  </property>
  <property fmtid="{D5CDD505-2E9C-101B-9397-08002B2CF9AE}" pid="4" name="_AuthorEmail">
    <vt:lpwstr>Susan.Haihambo@BON.COM.NA</vt:lpwstr>
  </property>
  <property fmtid="{D5CDD505-2E9C-101B-9397-08002B2CF9AE}" pid="5" name="_AuthorEmailDisplayName">
    <vt:lpwstr>Susan Haihambo</vt:lpwstr>
  </property>
  <property fmtid="{D5CDD505-2E9C-101B-9397-08002B2CF9AE}" pid="6" name="_ReviewingToolsShownOnce">
    <vt:lpwstr/>
  </property>
</Properties>
</file>