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'S7'!$B$70:$F$93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<sst xmlns="http://schemas.openxmlformats.org/spreadsheetml/2006/main" count="218" uniqueCount="157">
  <si>
    <t>Net Foreign Assets</t>
  </si>
  <si>
    <t>Money Market</t>
  </si>
  <si>
    <t>Bank Rate [%]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</si>
  <si>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</si>
  <si>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</si>
  <si>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</si>
  <si>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</si>
  <si>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</si>
  <si>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</si>
  <si>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</si>
  <si>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</si>
  <si>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</si>
  <si>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</si>
  <si>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</si>
  <si>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</si>
  <si>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</si>
  <si>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</si>
  <si>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</si>
  <si>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</si>
  <si>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</si>
  <si>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</si>
  <si>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</si>
  <si>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</si>
  <si>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</si>
  <si>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</si>
  <si>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</si>
  <si>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</si>
  <si>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</si>
  <si>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</si>
  <si>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</si>
  <si>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</si>
  <si>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</si>
  <si>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</si>
  <si>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</si>
  <si>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</si>
  <si>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</si>
  <si>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</si>
  <si>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</si>
  <si>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</si>
  <si>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</si>
  <si>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</si>
  <si>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</si>
  <si>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</si>
  <si>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</si>
  <si>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</si>
  <si>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</si>
  <si>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</si>
  <si>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</si>
  <si>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</si>
  <si>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 xml:space="preserve">     Source: BON</t>
  </si>
  <si>
    <t xml:space="preserve">         NSX Indices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</si>
  <si>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</si>
  <si>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</si>
  <si>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</si>
  <si>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</si>
  <si>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</si>
  <si>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</si>
  <si>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</si>
  <si>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</si>
  <si>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</si>
  <si>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</si>
  <si>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</si>
  <si>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</si>
  <si>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</si>
  <si>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</si>
  <si>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</si>
  <si>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</si>
  <si>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</si>
  <si>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</si>
  <si>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</si>
  <si>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</si>
  <si>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</si>
  <si>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</si>
  <si>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</si>
  <si>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</si>
  <si>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</si>
  <si>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</si>
  <si>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</si>
  <si>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</si>
  <si>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</si>
  <si>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</si>
  <si>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</si>
  <si>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</si>
  <si>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</si>
  <si>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</si>
  <si>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Deposits excluded from M2</t>
  </si>
  <si>
    <t>Other Accounts Payable</t>
  </si>
  <si>
    <t>Shares and Equity</t>
  </si>
  <si>
    <t>Vertical  check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</si>
  <si>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</si>
  <si>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</si>
  <si>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</si>
  <si>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</si>
  <si>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</si>
  <si>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</si>
  <si>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</si>
  <si>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</si>
  <si>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</si>
  <si>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</si>
  <si>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</si>
  <si>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</si>
  <si>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</si>
  <si>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</si>
  <si>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</si>
  <si>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</si>
  <si>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Insurance Technical Reserves</t>
  </si>
  <si>
    <t>Financial Derivatives</t>
  </si>
  <si>
    <t>Net Claims on Central Government</t>
  </si>
  <si>
    <t>Liabilities to residents</t>
  </si>
  <si>
    <t>Central Bank (N$ Million)</t>
  </si>
  <si>
    <t>*Other Depository Corporations</t>
  </si>
  <si>
    <t xml:space="preserve">              U.S Dollar/Namibia Dollar Exchange Rate</t>
  </si>
  <si>
    <t xml:space="preserve">               Foreign Exchange Reserves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</si>
  <si>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</si>
  <si>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</si>
  <si>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</si>
  <si>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</si>
  <si>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</si>
  <si>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 xml:space="preserve">   Other Financial Corporations</t>
  </si>
  <si>
    <t xml:space="preserve">   State and Local Government</t>
  </si>
  <si>
    <t xml:space="preserve">   Other Resident Sectors</t>
  </si>
  <si>
    <t xml:space="preserve">   Other Non-Financial Corporations</t>
  </si>
  <si>
    <t>Securities other than shares included in M2</t>
  </si>
  <si>
    <t>Securities other than shares excluded from M2</t>
  </si>
  <si>
    <t xml:space="preserve">      Source: CBS &amp; STATSSA</t>
  </si>
  <si>
    <t>* This item is present here due to a classification problem.  Kindly note that BoN is in the process of solving it.</t>
  </si>
  <si>
    <t>Total Claims on the Other Sector</t>
  </si>
  <si>
    <t>Claims on non-resident other sector</t>
  </si>
  <si>
    <t>*Domestic Claims = Domestic Credit</t>
  </si>
  <si>
    <t>* Other Sector Claims = Private Sector Credit</t>
  </si>
  <si>
    <t xml:space="preserve">       International Reserves and Exchange rates</t>
  </si>
  <si>
    <t>Public nonfinancial corporations</t>
  </si>
  <si>
    <t>Consumer Price Inflation [Percentage Change]*</t>
  </si>
  <si>
    <t>*  The consumer price inflation is based on the newly released NCPI (nation wide CPI)</t>
  </si>
  <si>
    <t xml:space="preserve">   Public Nonfinancial Corporations</t>
  </si>
  <si>
    <t>Other depository corporations</t>
  </si>
  <si>
    <t>Primary auction</t>
  </si>
  <si>
    <t xml:space="preserve">% Change </t>
  </si>
  <si>
    <t xml:space="preserve">   Loans and Advances</t>
  </si>
  <si>
    <t xml:space="preserve">  Installment Credit</t>
  </si>
  <si>
    <t xml:space="preserve">  Leasing Transactions</t>
  </si>
  <si>
    <t xml:space="preserve">  Other Claims</t>
  </si>
  <si>
    <t xml:space="preserve">  Loans and Advances</t>
  </si>
  <si>
    <t xml:space="preserve"> Mortgage Loans</t>
  </si>
  <si>
    <t xml:space="preserve"> Other Loans and Advances</t>
  </si>
  <si>
    <t xml:space="preserve">       Money Supply Month-on-Month  Percentage Changes</t>
  </si>
  <si>
    <t xml:space="preserve">  % Change</t>
  </si>
  <si>
    <t xml:space="preserve">  One Month</t>
  </si>
  <si>
    <t xml:space="preserve">          Namibia's Inflation vs South Africa's CPIX</t>
  </si>
  <si>
    <t>* Other Sectors = Private Sector</t>
  </si>
  <si>
    <t xml:space="preserve">     *Domestic Claims and Other Sector Claims  (Month-on-Month Percentage Changes)</t>
  </si>
  <si>
    <t xml:space="preserve">         Foreign exchange reserves (NAD millions)</t>
  </si>
  <si>
    <t>Selected Interest Rates</t>
  </si>
  <si>
    <t>Determinants of Money Supply (N$ Million)</t>
  </si>
  <si>
    <t>Components of Money Supply (N$ Million)</t>
  </si>
  <si>
    <t>Claims on the *Other Sectors  by the Other Depository Corporations (N$ Million)</t>
  </si>
  <si>
    <t>Source: NSX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</si>
</sst>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i/>
      <sz val="8"/>
      <name val="Arial"/>
      <family val="2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8"/>
      <color indexed="37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sz val="21.5"/>
      <name val="Arial"/>
      <family val="0"/>
    </font>
    <font>
      <b/>
      <sz val="11.25"/>
      <color indexed="37"/>
      <name val="Arial"/>
      <family val="2"/>
    </font>
    <font>
      <sz val="10.5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sz val="19.5"/>
      <name val="Arial"/>
      <family val="0"/>
    </font>
    <font>
      <b/>
      <sz val="10.25"/>
      <color indexed="37"/>
      <name val="Arial"/>
      <family val="2"/>
    </font>
    <font>
      <sz val="8.5"/>
      <name val="Arial"/>
      <family val="2"/>
    </font>
    <font>
      <sz val="11.75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0"/>
      <name val="Arial"/>
      <family val="2"/>
    </font>
    <font>
      <sz val="10.75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  <font>
      <sz val="15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4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16" fillId="0" borderId="0" applyProtection="0">
      <alignment/>
    </xf>
    <xf numFmtId="3" fontId="37" fillId="0" borderId="0" applyProtection="0">
      <alignment/>
    </xf>
    <xf numFmtId="3" fontId="15" fillId="0" borderId="0" applyProtection="0">
      <alignment/>
    </xf>
    <xf numFmtId="3" fontId="38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5" xfId="0" applyFont="1" applyFill="1" applyBorder="1" applyAlignment="1">
      <alignment/>
    </xf>
    <xf numFmtId="185" fontId="26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27" fillId="4" borderId="5" xfId="0" applyFont="1" applyFill="1" applyBorder="1" applyAlignment="1">
      <alignment horizontal="left" indent="1"/>
    </xf>
    <xf numFmtId="0" fontId="15" fillId="0" borderId="5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78" fontId="4" fillId="4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185" fontId="27" fillId="4" borderId="0" xfId="0" applyNumberFormat="1" applyFont="1" applyFill="1" applyBorder="1" applyAlignment="1">
      <alignment horizontal="left" indent="1"/>
    </xf>
    <xf numFmtId="0" fontId="26" fillId="4" borderId="14" xfId="0" applyFont="1" applyFill="1" applyBorder="1" applyAlignment="1">
      <alignment/>
    </xf>
    <xf numFmtId="185" fontId="26" fillId="4" borderId="1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0" fontId="27" fillId="4" borderId="0" xfId="0" applyFont="1" applyFill="1" applyBorder="1" applyAlignment="1">
      <alignment horizontal="left" indent="3"/>
    </xf>
    <xf numFmtId="195" fontId="10" fillId="4" borderId="15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0" fontId="29" fillId="0" borderId="0" xfId="0" applyFont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0" fontId="27" fillId="4" borderId="5" xfId="0" applyFont="1" applyFill="1" applyBorder="1" applyAlignment="1">
      <alignment horizontal="left" indent="3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6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1" fillId="2" borderId="17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1" fillId="2" borderId="17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5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5" xfId="28" applyNumberFormat="1" applyFont="1" applyFill="1" applyBorder="1" applyAlignment="1">
      <alignment horizontal="right"/>
      <protection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202" fontId="26" fillId="5" borderId="0" xfId="15" applyNumberFormat="1" applyFont="1" applyFill="1" applyBorder="1" applyAlignment="1">
      <alignment horizontal="right"/>
    </xf>
    <xf numFmtId="202" fontId="4" fillId="4" borderId="5" xfId="15" applyNumberFormat="1" applyFont="1" applyFill="1" applyBorder="1" applyAlignment="1">
      <alignment horizontal="right"/>
    </xf>
    <xf numFmtId="185" fontId="4" fillId="5" borderId="5" xfId="28" applyNumberFormat="1" applyFont="1" applyFill="1" applyBorder="1">
      <alignment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 applyAlignment="1">
      <alignment horizontal="right"/>
      <protection/>
    </xf>
    <xf numFmtId="0" fontId="43" fillId="0" borderId="8" xfId="0" applyFont="1" applyBorder="1" applyAlignment="1">
      <alignment/>
    </xf>
    <xf numFmtId="0" fontId="39" fillId="0" borderId="8" xfId="0" applyFont="1" applyBorder="1" applyAlignment="1">
      <alignment horizontal="center"/>
    </xf>
    <xf numFmtId="0" fontId="44" fillId="3" borderId="8" xfId="0" applyFont="1" applyFill="1" applyBorder="1" applyAlignment="1">
      <alignment/>
    </xf>
    <xf numFmtId="0" fontId="39" fillId="0" borderId="8" xfId="0" applyFont="1" applyBorder="1" applyAlignment="1">
      <alignment/>
    </xf>
    <xf numFmtId="0" fontId="39" fillId="0" borderId="18" xfId="0" applyFont="1" applyBorder="1" applyAlignment="1">
      <alignment/>
    </xf>
    <xf numFmtId="0" fontId="39" fillId="3" borderId="18" xfId="0" applyFont="1" applyFill="1" applyBorder="1" applyAlignment="1">
      <alignment/>
    </xf>
    <xf numFmtId="2" fontId="39" fillId="0" borderId="8" xfId="0" applyNumberFormat="1" applyFont="1" applyBorder="1" applyAlignment="1">
      <alignment/>
    </xf>
    <xf numFmtId="0" fontId="39" fillId="0" borderId="7" xfId="0" applyFont="1" applyBorder="1" applyAlignment="1">
      <alignment horizontal="center"/>
    </xf>
    <xf numFmtId="0" fontId="44" fillId="3" borderId="7" xfId="0" applyFont="1" applyFill="1" applyBorder="1" applyAlignment="1">
      <alignment/>
    </xf>
    <xf numFmtId="0" fontId="39" fillId="0" borderId="7" xfId="0" applyFont="1" applyBorder="1" applyAlignment="1">
      <alignment/>
    </xf>
    <xf numFmtId="0" fontId="39" fillId="0" borderId="19" xfId="0" applyFont="1" applyBorder="1" applyAlignment="1">
      <alignment/>
    </xf>
    <xf numFmtId="0" fontId="39" fillId="3" borderId="19" xfId="0" applyFont="1" applyFill="1" applyBorder="1" applyAlignment="1">
      <alignment/>
    </xf>
    <xf numFmtId="2" fontId="39" fillId="0" borderId="7" xfId="0" applyNumberFormat="1" applyFont="1" applyBorder="1" applyAlignment="1">
      <alignment/>
    </xf>
    <xf numFmtId="0" fontId="45" fillId="2" borderId="7" xfId="0" applyFont="1" applyFill="1" applyBorder="1" applyAlignment="1">
      <alignment horizontal="center"/>
    </xf>
    <xf numFmtId="17" fontId="45" fillId="2" borderId="7" xfId="0" applyNumberFormat="1" applyFont="1" applyFill="1" applyBorder="1" applyAlignment="1">
      <alignment horizontal="center"/>
    </xf>
    <xf numFmtId="17" fontId="45" fillId="2" borderId="19" xfId="0" applyNumberFormat="1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4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44" fillId="4" borderId="7" xfId="0" applyFont="1" applyFill="1" applyBorder="1" applyAlignment="1">
      <alignment/>
    </xf>
    <xf numFmtId="0" fontId="44" fillId="4" borderId="19" xfId="0" applyFont="1" applyFill="1" applyBorder="1" applyAlignment="1">
      <alignment/>
    </xf>
    <xf numFmtId="0" fontId="39" fillId="4" borderId="19" xfId="0" applyFont="1" applyFill="1" applyBorder="1" applyAlignment="1">
      <alignment/>
    </xf>
    <xf numFmtId="0" fontId="39" fillId="4" borderId="7" xfId="0" applyFont="1" applyFill="1" applyBorder="1" applyAlignment="1">
      <alignment/>
    </xf>
    <xf numFmtId="17" fontId="45" fillId="4" borderId="7" xfId="0" applyNumberFormat="1" applyFont="1" applyFill="1" applyBorder="1" applyAlignment="1">
      <alignment horizontal="center"/>
    </xf>
    <xf numFmtId="185" fontId="44" fillId="4" borderId="7" xfId="0" applyNumberFormat="1" applyFont="1" applyFill="1" applyBorder="1" applyAlignment="1">
      <alignment horizontal="center"/>
    </xf>
    <xf numFmtId="178" fontId="44" fillId="4" borderId="7" xfId="0" applyNumberFormat="1" applyFont="1" applyFill="1" applyBorder="1" applyAlignment="1">
      <alignment/>
    </xf>
    <xf numFmtId="178" fontId="44" fillId="4" borderId="7" xfId="0" applyNumberFormat="1" applyFont="1" applyFill="1" applyBorder="1" applyAlignment="1">
      <alignment horizontal="right"/>
    </xf>
    <xf numFmtId="178" fontId="44" fillId="4" borderId="19" xfId="0" applyNumberFormat="1" applyFont="1" applyFill="1" applyBorder="1" applyAlignment="1">
      <alignment/>
    </xf>
    <xf numFmtId="178" fontId="44" fillId="4" borderId="19" xfId="0" applyNumberFormat="1" applyFont="1" applyFill="1" applyBorder="1" applyAlignment="1">
      <alignment horizontal="right"/>
    </xf>
    <xf numFmtId="178" fontId="44" fillId="4" borderId="7" xfId="0" applyNumberFormat="1" applyFont="1" applyFill="1" applyBorder="1" applyAlignment="1">
      <alignment/>
    </xf>
    <xf numFmtId="178" fontId="44" fillId="4" borderId="7" xfId="0" applyNumberFormat="1" applyFont="1" applyFill="1" applyBorder="1" applyAlignment="1">
      <alignment horizontal="center"/>
    </xf>
    <xf numFmtId="178" fontId="44" fillId="4" borderId="19" xfId="0" applyNumberFormat="1" applyFont="1" applyFill="1" applyBorder="1" applyAlignment="1">
      <alignment horizontal="center"/>
    </xf>
    <xf numFmtId="0" fontId="44" fillId="4" borderId="7" xfId="0" applyFont="1" applyFill="1" applyBorder="1" applyAlignment="1">
      <alignment horizontal="right"/>
    </xf>
    <xf numFmtId="182" fontId="44" fillId="4" borderId="7" xfId="0" applyNumberFormat="1" applyFont="1" applyFill="1" applyBorder="1" applyAlignment="1">
      <alignment/>
    </xf>
    <xf numFmtId="182" fontId="44" fillId="4" borderId="7" xfId="0" applyNumberFormat="1" applyFont="1" applyFill="1" applyBorder="1" applyAlignment="1">
      <alignment horizontal="center"/>
    </xf>
    <xf numFmtId="182" fontId="44" fillId="4" borderId="7" xfId="0" applyNumberFormat="1" applyFont="1" applyFill="1" applyBorder="1" applyAlignment="1">
      <alignment horizontal="right"/>
    </xf>
    <xf numFmtId="182" fontId="44" fillId="4" borderId="19" xfId="0" applyNumberFormat="1" applyFont="1" applyFill="1" applyBorder="1" applyAlignment="1">
      <alignment horizontal="right"/>
    </xf>
    <xf numFmtId="0" fontId="44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7" xfId="0" applyFont="1" applyFill="1" applyBorder="1" applyAlignment="1">
      <alignment/>
    </xf>
    <xf numFmtId="0" fontId="47" fillId="0" borderId="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4" fillId="3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20" xfId="0" applyFont="1" applyBorder="1" applyAlignment="1">
      <alignment/>
    </xf>
    <xf numFmtId="0" fontId="39" fillId="3" borderId="20" xfId="0" applyFont="1" applyFill="1" applyBorder="1" applyAlignment="1">
      <alignment/>
    </xf>
    <xf numFmtId="2" fontId="39" fillId="0" borderId="16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20" fillId="2" borderId="2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3675"/>
          <c:w val="0.840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'[1]M1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Chart'!$AB$7:$AN$7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'[1]M1 M2 Chart'!$AB$8:$AN$8</c:f>
              <c:numCache>
                <c:ptCount val="13"/>
                <c:pt idx="0">
                  <c:v>0.9473950084909514</c:v>
                </c:pt>
                <c:pt idx="1">
                  <c:v>3.1022448170477457</c:v>
                </c:pt>
                <c:pt idx="2">
                  <c:v>-0.4527104250240302</c:v>
                </c:pt>
                <c:pt idx="3">
                  <c:v>1.5844991643956683</c:v>
                </c:pt>
                <c:pt idx="4">
                  <c:v>2.2291129691554685</c:v>
                </c:pt>
                <c:pt idx="5">
                  <c:v>-0.8783362075959111</c:v>
                </c:pt>
                <c:pt idx="6">
                  <c:v>-2.0311193007765493</c:v>
                </c:pt>
                <c:pt idx="7">
                  <c:v>1.5030860262498926</c:v>
                </c:pt>
                <c:pt idx="8">
                  <c:v>0.840754395626258</c:v>
                </c:pt>
                <c:pt idx="9">
                  <c:v>-0.5574313393873055</c:v>
                </c:pt>
                <c:pt idx="10">
                  <c:v>2.4536389181423</c:v>
                </c:pt>
                <c:pt idx="11">
                  <c:v>2.3924522733649876</c:v>
                </c:pt>
                <c:pt idx="12">
                  <c:v>5.428628552496831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Chart'!$AB$7:$AN$7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'[1]M1 M2 Chart'!$AB$9:$AN$9</c:f>
              <c:numCache>
                <c:ptCount val="13"/>
                <c:pt idx="0">
                  <c:v>3.4860399807870035</c:v>
                </c:pt>
                <c:pt idx="1">
                  <c:v>3.782261416190501</c:v>
                </c:pt>
                <c:pt idx="2">
                  <c:v>3.5425829646087545</c:v>
                </c:pt>
                <c:pt idx="3">
                  <c:v>-0.4592355175888246</c:v>
                </c:pt>
                <c:pt idx="4">
                  <c:v>3.653446844548424</c:v>
                </c:pt>
                <c:pt idx="5">
                  <c:v>-0.7367944562569547</c:v>
                </c:pt>
                <c:pt idx="6">
                  <c:v>-3.3139186881736546</c:v>
                </c:pt>
                <c:pt idx="7">
                  <c:v>0.6002163455232973</c:v>
                </c:pt>
                <c:pt idx="8">
                  <c:v>-1.4810470967401466</c:v>
                </c:pt>
                <c:pt idx="9">
                  <c:v>-1.869648927557499</c:v>
                </c:pt>
                <c:pt idx="10">
                  <c:v>4.799168176888532</c:v>
                </c:pt>
                <c:pt idx="11">
                  <c:v>5.032394379553214</c:v>
                </c:pt>
                <c:pt idx="12">
                  <c:v>6.784294417250051</c:v>
                </c:pt>
              </c:numCache>
            </c:numRef>
          </c:val>
          <c:smooth val="0"/>
        </c:ser>
        <c:axId val="29381972"/>
        <c:axId val="63111157"/>
      </c:lineChart>
      <c:catAx>
        <c:axId val="293819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2938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65"/>
          <c:w val="0.48325"/>
          <c:h val="0.0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10475"/>
          <c:w val="0.940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'[1]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chart'!$AA$10:$AM$10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'[1] PSC chart'!$AA$11:$AM$11</c:f>
              <c:numCache>
                <c:ptCount val="13"/>
                <c:pt idx="0">
                  <c:v>3.6589383574082444</c:v>
                </c:pt>
                <c:pt idx="1">
                  <c:v>1.1226836722368163</c:v>
                </c:pt>
                <c:pt idx="2">
                  <c:v>3.3588550766543</c:v>
                </c:pt>
                <c:pt idx="3">
                  <c:v>2.0751914983666966</c:v>
                </c:pt>
                <c:pt idx="4">
                  <c:v>-0.45158553090269665</c:v>
                </c:pt>
                <c:pt idx="5">
                  <c:v>2.5666813635568806</c:v>
                </c:pt>
                <c:pt idx="6">
                  <c:v>1.7503961138056554</c:v>
                </c:pt>
                <c:pt idx="7">
                  <c:v>-0.9844430010772701</c:v>
                </c:pt>
                <c:pt idx="8">
                  <c:v>2.87051915691682</c:v>
                </c:pt>
                <c:pt idx="9">
                  <c:v>3.1850287501738674</c:v>
                </c:pt>
                <c:pt idx="10">
                  <c:v>-1.9992946206865863</c:v>
                </c:pt>
                <c:pt idx="11">
                  <c:v>2.6492085049404532</c:v>
                </c:pt>
                <c:pt idx="12">
                  <c:v>1.1086513184873106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chart'!$AA$10:$AM$10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'[1] PSC chart'!$AA$12:$AM$12</c:f>
              <c:numCache>
                <c:ptCount val="13"/>
                <c:pt idx="0">
                  <c:v>2.3923169874069745</c:v>
                </c:pt>
                <c:pt idx="1">
                  <c:v>1.9765002042752875</c:v>
                </c:pt>
                <c:pt idx="2">
                  <c:v>1.9641104297318202</c:v>
                </c:pt>
                <c:pt idx="3">
                  <c:v>0.22176876452806404</c:v>
                </c:pt>
                <c:pt idx="4">
                  <c:v>2.0671738927704517</c:v>
                </c:pt>
                <c:pt idx="5">
                  <c:v>1.249947427449018</c:v>
                </c:pt>
                <c:pt idx="6">
                  <c:v>1.1938160015464723</c:v>
                </c:pt>
                <c:pt idx="7">
                  <c:v>0.9940454605630606</c:v>
                </c:pt>
                <c:pt idx="8">
                  <c:v>1.9456453252726835</c:v>
                </c:pt>
                <c:pt idx="9">
                  <c:v>1.9982868631922939</c:v>
                </c:pt>
                <c:pt idx="10">
                  <c:v>0.28546783446663965</c:v>
                </c:pt>
                <c:pt idx="11">
                  <c:v>2.8873975497460442</c:v>
                </c:pt>
                <c:pt idx="12">
                  <c:v>0.22370936667282285</c:v>
                </c:pt>
              </c:numCache>
            </c:numRef>
          </c:val>
          <c:smooth val="0"/>
        </c:ser>
        <c:axId val="31129502"/>
        <c:axId val="11730063"/>
      </c:lineChart>
      <c:catAx>
        <c:axId val="3112950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408000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11730063"/>
        <c:crossesAt val="0"/>
        <c:auto val="1"/>
        <c:lblOffset val="100"/>
        <c:noMultiLvlLbl val="0"/>
      </c:catAx>
      <c:valAx>
        <c:axId val="11730063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3112950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5075"/>
          <c:w val="0.445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6325"/>
          <c:w val="0.9115"/>
          <c:h val="0.880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'[2]Monthly indices'!$B$113:$B$125</c:f>
              <c:numCache>
                <c:ptCount val="13"/>
                <c:pt idx="0">
                  <c:v>38412</c:v>
                </c:pt>
                <c:pt idx="1">
                  <c:v>38443</c:v>
                </c:pt>
                <c:pt idx="2">
                  <c:v>38473</c:v>
                </c:pt>
                <c:pt idx="3">
                  <c:v>38504</c:v>
                </c:pt>
                <c:pt idx="4">
                  <c:v>38534</c:v>
                </c:pt>
                <c:pt idx="5">
                  <c:v>38565</c:v>
                </c:pt>
                <c:pt idx="6">
                  <c:v>38596</c:v>
                </c:pt>
                <c:pt idx="7">
                  <c:v>38626</c:v>
                </c:pt>
                <c:pt idx="8">
                  <c:v>38657</c:v>
                </c:pt>
                <c:pt idx="9">
                  <c:v>38687</c:v>
                </c:pt>
                <c:pt idx="10">
                  <c:v>38718</c:v>
                </c:pt>
                <c:pt idx="11">
                  <c:v>38749</c:v>
                </c:pt>
                <c:pt idx="12">
                  <c:v>38777</c:v>
                </c:pt>
              </c:numCache>
            </c:numRef>
          </c:cat>
          <c:val>
            <c:numRef>
              <c:f>'[2]Monthly indices'!$C$113:$C$125</c:f>
              <c:numCache>
                <c:ptCount val="13"/>
                <c:pt idx="0">
                  <c:v>438.66</c:v>
                </c:pt>
                <c:pt idx="1">
                  <c:v>410.11</c:v>
                </c:pt>
                <c:pt idx="2">
                  <c:v>410.11</c:v>
                </c:pt>
                <c:pt idx="3">
                  <c:v>450.45</c:v>
                </c:pt>
                <c:pt idx="4">
                  <c:v>484.19</c:v>
                </c:pt>
                <c:pt idx="5">
                  <c:v>482.53</c:v>
                </c:pt>
                <c:pt idx="6">
                  <c:v>523.72</c:v>
                </c:pt>
                <c:pt idx="7">
                  <c:v>520.07</c:v>
                </c:pt>
                <c:pt idx="8">
                  <c:v>536.25</c:v>
                </c:pt>
                <c:pt idx="9">
                  <c:v>581.68</c:v>
                </c:pt>
                <c:pt idx="10">
                  <c:v>633</c:v>
                </c:pt>
                <c:pt idx="11">
                  <c:v>621.84</c:v>
                </c:pt>
                <c:pt idx="12">
                  <c:v>622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38461704"/>
        <c:axId val="10611017"/>
      </c:lineChart>
      <c:lineChart>
        <c:grouping val="standard"/>
        <c:varyColors val="0"/>
        <c:ser>
          <c:idx val="1"/>
          <c:order val="1"/>
          <c:tx>
            <c:strRef>
              <c:f>'[2]Monthly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'[2]Monthly indices'!$D$113:$D$125</c:f>
              <c:numCache>
                <c:ptCount val="13"/>
                <c:pt idx="0">
                  <c:v>65.11</c:v>
                </c:pt>
                <c:pt idx="1">
                  <c:v>64.83</c:v>
                </c:pt>
                <c:pt idx="2">
                  <c:v>64.83</c:v>
                </c:pt>
                <c:pt idx="3">
                  <c:v>67.42</c:v>
                </c:pt>
                <c:pt idx="4">
                  <c:v>66.66</c:v>
                </c:pt>
                <c:pt idx="5">
                  <c:v>66.3</c:v>
                </c:pt>
                <c:pt idx="6">
                  <c:v>65.64</c:v>
                </c:pt>
                <c:pt idx="7">
                  <c:v>65.04</c:v>
                </c:pt>
                <c:pt idx="8">
                  <c:v>69.98</c:v>
                </c:pt>
                <c:pt idx="9">
                  <c:v>71.74</c:v>
                </c:pt>
                <c:pt idx="10">
                  <c:v>74</c:v>
                </c:pt>
                <c:pt idx="11">
                  <c:v>77.02</c:v>
                </c:pt>
                <c:pt idx="12">
                  <c:v>77.02</c:v>
                </c:pt>
              </c:numCache>
            </c:numRef>
          </c:val>
          <c:smooth val="0"/>
        </c:ser>
        <c:axId val="28390290"/>
        <c:axId val="54186019"/>
      </c:lineChart>
      <c:catAx>
        <c:axId val="38461704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993366"/>
                </a:solidFill>
              </a:defRPr>
            </a:pPr>
          </a:p>
        </c:txPr>
        <c:crossAx val="38461704"/>
        <c:crossesAt val="1"/>
        <c:crossBetween val="between"/>
        <c:dispUnits/>
      </c:valAx>
      <c:catAx>
        <c:axId val="28390290"/>
        <c:scaling>
          <c:orientation val="minMax"/>
        </c:scaling>
        <c:axPos val="b"/>
        <c:delete val="1"/>
        <c:majorTickMark val="cross"/>
        <c:minorTickMark val="none"/>
        <c:tickLblPos val="nextTo"/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993366"/>
                </a:solidFill>
              </a:defRPr>
            </a:pPr>
          </a:p>
        </c:txPr>
        <c:crossAx val="283902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93225"/>
          <c:w val="0.475"/>
          <c:h val="0.06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935"/>
          <c:w val="0.89375"/>
          <c:h val="0.59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'[3]Data'!$D$179:$D$191</c:f>
              <c:numCache>
                <c:ptCount val="13"/>
                <c:pt idx="0">
                  <c:v>38413</c:v>
                </c:pt>
                <c:pt idx="1">
                  <c:v>38444</c:v>
                </c:pt>
                <c:pt idx="2">
                  <c:v>38474</c:v>
                </c:pt>
                <c:pt idx="3">
                  <c:v>38505</c:v>
                </c:pt>
                <c:pt idx="4">
                  <c:v>38535</c:v>
                </c:pt>
                <c:pt idx="5">
                  <c:v>38566</c:v>
                </c:pt>
                <c:pt idx="6">
                  <c:v>38597</c:v>
                </c:pt>
                <c:pt idx="7">
                  <c:v>38627</c:v>
                </c:pt>
                <c:pt idx="8">
                  <c:v>38658</c:v>
                </c:pt>
                <c:pt idx="9">
                  <c:v>38688</c:v>
                </c:pt>
                <c:pt idx="10">
                  <c:v>38719</c:v>
                </c:pt>
                <c:pt idx="11">
                  <c:v>38750</c:v>
                </c:pt>
                <c:pt idx="12">
                  <c:v>38778</c:v>
                </c:pt>
              </c:numCache>
            </c:numRef>
          </c:cat>
          <c:val>
            <c:numRef>
              <c:f>'[3]Data'!$F$179:$F$191</c:f>
              <c:numCache>
                <c:ptCount val="13"/>
                <c:pt idx="0">
                  <c:v>7.5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'[3]Data'!$D$179:$D$191</c:f>
              <c:numCache>
                <c:ptCount val="13"/>
                <c:pt idx="0">
                  <c:v>38413</c:v>
                </c:pt>
                <c:pt idx="1">
                  <c:v>38444</c:v>
                </c:pt>
                <c:pt idx="2">
                  <c:v>38474</c:v>
                </c:pt>
                <c:pt idx="3">
                  <c:v>38505</c:v>
                </c:pt>
                <c:pt idx="4">
                  <c:v>38535</c:v>
                </c:pt>
                <c:pt idx="5">
                  <c:v>38566</c:v>
                </c:pt>
                <c:pt idx="6">
                  <c:v>38597</c:v>
                </c:pt>
                <c:pt idx="7">
                  <c:v>38627</c:v>
                </c:pt>
                <c:pt idx="8">
                  <c:v>38658</c:v>
                </c:pt>
                <c:pt idx="9">
                  <c:v>38688</c:v>
                </c:pt>
                <c:pt idx="10">
                  <c:v>38719</c:v>
                </c:pt>
                <c:pt idx="11">
                  <c:v>38750</c:v>
                </c:pt>
                <c:pt idx="12">
                  <c:v>38778</c:v>
                </c:pt>
              </c:numCache>
            </c:numRef>
          </c:cat>
          <c:val>
            <c:numRef>
              <c:f>'[3]Data'!$K$179:$K$191</c:f>
              <c:numCache>
                <c:ptCount val="13"/>
                <c:pt idx="0">
                  <c:v>6.53</c:v>
                </c:pt>
                <c:pt idx="1">
                  <c:v>6.5</c:v>
                </c:pt>
                <c:pt idx="2">
                  <c:v>6.31</c:v>
                </c:pt>
                <c:pt idx="3">
                  <c:v>6.21</c:v>
                </c:pt>
                <c:pt idx="4">
                  <c:v>6.13</c:v>
                </c:pt>
                <c:pt idx="5">
                  <c:v>6.06</c:v>
                </c:pt>
                <c:pt idx="6">
                  <c:v>6.13</c:v>
                </c:pt>
                <c:pt idx="7">
                  <c:v>5.98</c:v>
                </c:pt>
                <c:pt idx="8">
                  <c:v>6.02</c:v>
                </c:pt>
                <c:pt idx="9">
                  <c:v>5.99</c:v>
                </c:pt>
                <c:pt idx="10">
                  <c:v>6.09</c:v>
                </c:pt>
                <c:pt idx="11">
                  <c:v>6.1</c:v>
                </c:pt>
                <c:pt idx="12">
                  <c:v>6.11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'[3]Data'!$D$179:$D$191</c:f>
              <c:numCache>
                <c:ptCount val="13"/>
                <c:pt idx="0">
                  <c:v>38413</c:v>
                </c:pt>
                <c:pt idx="1">
                  <c:v>38444</c:v>
                </c:pt>
                <c:pt idx="2">
                  <c:v>38474</c:v>
                </c:pt>
                <c:pt idx="3">
                  <c:v>38505</c:v>
                </c:pt>
                <c:pt idx="4">
                  <c:v>38535</c:v>
                </c:pt>
                <c:pt idx="5">
                  <c:v>38566</c:v>
                </c:pt>
                <c:pt idx="6">
                  <c:v>38597</c:v>
                </c:pt>
                <c:pt idx="7">
                  <c:v>38627</c:v>
                </c:pt>
                <c:pt idx="8">
                  <c:v>38658</c:v>
                </c:pt>
                <c:pt idx="9">
                  <c:v>38688</c:v>
                </c:pt>
                <c:pt idx="10">
                  <c:v>38719</c:v>
                </c:pt>
                <c:pt idx="11">
                  <c:v>38750</c:v>
                </c:pt>
                <c:pt idx="12">
                  <c:v>38778</c:v>
                </c:pt>
              </c:numCache>
            </c:numRef>
          </c:cat>
          <c:val>
            <c:numRef>
              <c:f>'[3]Data'!$L$179:$L$191</c:f>
              <c:numCache>
                <c:ptCount val="13"/>
                <c:pt idx="0">
                  <c:v>10.56</c:v>
                </c:pt>
                <c:pt idx="1">
                  <c:v>10.66</c:v>
                </c:pt>
                <c:pt idx="2">
                  <c:v>10.58</c:v>
                </c:pt>
                <c:pt idx="3">
                  <c:v>10.52</c:v>
                </c:pt>
                <c:pt idx="4">
                  <c:v>10.52</c:v>
                </c:pt>
                <c:pt idx="5">
                  <c:v>10.5</c:v>
                </c:pt>
                <c:pt idx="6">
                  <c:v>10.77</c:v>
                </c:pt>
                <c:pt idx="7">
                  <c:v>10.55</c:v>
                </c:pt>
                <c:pt idx="8">
                  <c:v>10.54</c:v>
                </c:pt>
                <c:pt idx="9">
                  <c:v>10.78</c:v>
                </c:pt>
                <c:pt idx="10">
                  <c:v>10.46</c:v>
                </c:pt>
                <c:pt idx="11">
                  <c:v>10.69</c:v>
                </c:pt>
                <c:pt idx="12">
                  <c:v>10.78</c:v>
                </c:pt>
              </c:numCache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26991389"/>
        <c:crossesAt val="0"/>
        <c:auto val="1"/>
        <c:lblOffset val="100"/>
        <c:noMultiLvlLbl val="0"/>
      </c:catAx>
      <c:valAx>
        <c:axId val="2699138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91212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46"/>
          <c:y val="0.742"/>
          <c:w val="0.55625"/>
          <c:h val="0.076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225"/>
          <c:w val="0.974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-NCPI'!$B$7:$B$19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'[4]Inflation CPIX -NCPI'!$C$7:$C$19</c:f>
              <c:numCache>
                <c:ptCount val="13"/>
                <c:pt idx="0">
                  <c:v>3</c:v>
                </c:pt>
                <c:pt idx="1">
                  <c:v>3.8</c:v>
                </c:pt>
                <c:pt idx="2">
                  <c:v>3.9</c:v>
                </c:pt>
                <c:pt idx="3">
                  <c:v>3.5</c:v>
                </c:pt>
                <c:pt idx="4">
                  <c:v>4.2</c:v>
                </c:pt>
                <c:pt idx="5">
                  <c:v>4.8</c:v>
                </c:pt>
                <c:pt idx="6">
                  <c:v>4.7</c:v>
                </c:pt>
                <c:pt idx="7">
                  <c:v>4.4</c:v>
                </c:pt>
                <c:pt idx="8">
                  <c:v>3.7</c:v>
                </c:pt>
                <c:pt idx="9">
                  <c:v>4</c:v>
                </c:pt>
                <c:pt idx="10">
                  <c:v>4.3</c:v>
                </c:pt>
                <c:pt idx="11">
                  <c:v>4.5</c:v>
                </c:pt>
                <c:pt idx="12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-NCPI'!$B$7:$B$19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'[4]Inflation CPIX -NCPI'!$D$7:$D$19</c:f>
              <c:numCache>
                <c:ptCount val="13"/>
                <c:pt idx="0">
                  <c:v>1.7</c:v>
                </c:pt>
                <c:pt idx="1">
                  <c:v>1.6</c:v>
                </c:pt>
                <c:pt idx="2">
                  <c:v>0.9</c:v>
                </c:pt>
                <c:pt idx="3">
                  <c:v>1.3</c:v>
                </c:pt>
                <c:pt idx="4">
                  <c:v>1.7</c:v>
                </c:pt>
                <c:pt idx="5">
                  <c:v>2.2</c:v>
                </c:pt>
                <c:pt idx="6">
                  <c:v>2.9</c:v>
                </c:pt>
                <c:pt idx="7">
                  <c:v>2.9</c:v>
                </c:pt>
                <c:pt idx="8">
                  <c:v>3.4</c:v>
                </c:pt>
                <c:pt idx="9">
                  <c:v>3.4</c:v>
                </c:pt>
                <c:pt idx="10">
                  <c:v>3.6</c:v>
                </c:pt>
                <c:pt idx="11">
                  <c:v>3.7</c:v>
                </c:pt>
                <c:pt idx="12">
                  <c:v>4.6</c:v>
                </c:pt>
              </c:numCache>
            </c:numRef>
          </c:val>
          <c:smooth val="0"/>
        </c:ser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800000"/>
                </a:solidFill>
              </a:defRPr>
            </a:pPr>
          </a:p>
        </c:txPr>
        <c:crossAx val="4159591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"/>
          <c:y val="0.9305"/>
          <c:w val="0.4545"/>
          <c:h val="0.044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25"/>
          <c:w val="0.9455"/>
          <c:h val="0.95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'S5'!$AB$4:$AN$4</c:f>
              <c:strCache>
                <c:ptCount val="13"/>
                <c:pt idx="0">
                  <c:v>38412</c:v>
                </c:pt>
                <c:pt idx="1">
                  <c:v>38443</c:v>
                </c:pt>
                <c:pt idx="2">
                  <c:v>38473</c:v>
                </c:pt>
                <c:pt idx="3">
                  <c:v>38504</c:v>
                </c:pt>
                <c:pt idx="4">
                  <c:v>38534</c:v>
                </c:pt>
                <c:pt idx="5">
                  <c:v>38565</c:v>
                </c:pt>
                <c:pt idx="6">
                  <c:v>38596</c:v>
                </c:pt>
                <c:pt idx="7">
                  <c:v>38626</c:v>
                </c:pt>
                <c:pt idx="8">
                  <c:v>38657</c:v>
                </c:pt>
                <c:pt idx="9">
                  <c:v>38687</c:v>
                </c:pt>
                <c:pt idx="10">
                  <c:v>38718</c:v>
                </c:pt>
                <c:pt idx="11">
                  <c:v>38749</c:v>
                </c:pt>
                <c:pt idx="12">
                  <c:v>38777</c:v>
                </c:pt>
              </c:strCache>
            </c:strRef>
          </c:cat>
          <c:val>
            <c:numRef>
              <c:f>'S5'!$AB$13:$AN$13</c:f>
              <c:numCache>
                <c:ptCount val="13"/>
                <c:pt idx="0">
                  <c:v>0.16638658258598024</c:v>
                </c:pt>
                <c:pt idx="1">
                  <c:v>0.16254612246224867</c:v>
                </c:pt>
                <c:pt idx="2">
                  <c:v>0.1579429510060966</c:v>
                </c:pt>
                <c:pt idx="3">
                  <c:v>0.14814814814814814</c:v>
                </c:pt>
                <c:pt idx="4">
                  <c:v>0.14917580368464234</c:v>
                </c:pt>
                <c:pt idx="5">
                  <c:v>0.15467904098994587</c:v>
                </c:pt>
                <c:pt idx="6">
                  <c:v>0.1572871118940514</c:v>
                </c:pt>
                <c:pt idx="7">
                  <c:v>0.15205425295745523</c:v>
                </c:pt>
                <c:pt idx="8">
                  <c:v>0.15335071308081583</c:v>
                </c:pt>
                <c:pt idx="9">
                  <c:v>0.157254957462534</c:v>
                </c:pt>
                <c:pt idx="10">
                  <c:v>0.1642278826099095</c:v>
                </c:pt>
                <c:pt idx="11">
                  <c:v>0.16346012390277392</c:v>
                </c:pt>
                <c:pt idx="12">
                  <c:v>0.15988743924277307</c:v>
                </c:pt>
              </c:numCache>
            </c:numRef>
          </c:val>
          <c:smooth val="0"/>
        </c:ser>
        <c:marker val="1"/>
        <c:axId val="13825520"/>
        <c:axId val="57320817"/>
      </c:lineChart>
      <c:dateAx>
        <c:axId val="1382552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00" b="0" i="1" u="none" baseline="0">
                <a:solidFill>
                  <a:srgbClr val="800000"/>
                </a:solidFill>
              </a:defRPr>
            </a:pPr>
          </a:p>
        </c:txPr>
        <c:crossAx val="57320817"/>
        <c:crossesAt val="0.089"/>
        <c:auto val="0"/>
        <c:noMultiLvlLbl val="0"/>
      </c:dateAx>
      <c:valAx>
        <c:axId val="57320817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13825520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'[1]Int reser chart'!$AC$2:$AO$2</c:f>
              <c:numCache>
                <c:ptCount val="13"/>
                <c:pt idx="0">
                  <c:v>38442</c:v>
                </c:pt>
                <c:pt idx="1">
                  <c:v>38472</c:v>
                </c:pt>
                <c:pt idx="2">
                  <c:v>38503</c:v>
                </c:pt>
                <c:pt idx="3">
                  <c:v>38533</c:v>
                </c:pt>
                <c:pt idx="4">
                  <c:v>38564</c:v>
                </c:pt>
                <c:pt idx="5">
                  <c:v>38595</c:v>
                </c:pt>
                <c:pt idx="6">
                  <c:v>38625</c:v>
                </c:pt>
                <c:pt idx="7">
                  <c:v>38656</c:v>
                </c:pt>
                <c:pt idx="8">
                  <c:v>38686</c:v>
                </c:pt>
                <c:pt idx="9">
                  <c:v>38717</c:v>
                </c:pt>
                <c:pt idx="10">
                  <c:v>38748</c:v>
                </c:pt>
                <c:pt idx="11">
                  <c:v>38776</c:v>
                </c:pt>
                <c:pt idx="12">
                  <c:v>38807</c:v>
                </c:pt>
              </c:numCache>
            </c:numRef>
          </c:cat>
          <c:val>
            <c:numRef>
              <c:f>'[1]Int reser chart'!$AC$3:$AO$3</c:f>
              <c:numCache>
                <c:ptCount val="13"/>
                <c:pt idx="0">
                  <c:v>1912.7061455699998</c:v>
                </c:pt>
                <c:pt idx="1">
                  <c:v>2302.37940167</c:v>
                </c:pt>
                <c:pt idx="2">
                  <c:v>2107.05236838</c:v>
                </c:pt>
                <c:pt idx="3">
                  <c:v>1874.1086621700001</c:v>
                </c:pt>
                <c:pt idx="4">
                  <c:v>2354.6779455899996</c:v>
                </c:pt>
                <c:pt idx="5">
                  <c:v>2159.0558769699996</c:v>
                </c:pt>
                <c:pt idx="6">
                  <c:v>1818.2111408299995</c:v>
                </c:pt>
                <c:pt idx="7">
                  <c:v>2244.9941216</c:v>
                </c:pt>
                <c:pt idx="8">
                  <c:v>1902.2269241000001</c:v>
                </c:pt>
                <c:pt idx="9">
                  <c:v>1983.9336482200001</c:v>
                </c:pt>
                <c:pt idx="10">
                  <c:v>2705.4959120600006</c:v>
                </c:pt>
                <c:pt idx="11">
                  <c:v>2695.98428512</c:v>
                </c:pt>
                <c:pt idx="12">
                  <c:v>2458.05358815</c:v>
                </c:pt>
              </c:numCache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</a:rPr>
                  <a:t> 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46125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52450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85725</xdr:rowOff>
    </xdr:from>
    <xdr:to>
      <xdr:col>13</xdr:col>
      <xdr:colOff>352425</xdr:colOff>
      <xdr:row>23</xdr:row>
      <xdr:rowOff>95250</xdr:rowOff>
    </xdr:to>
    <xdr:graphicFrame>
      <xdr:nvGraphicFramePr>
        <xdr:cNvPr id="1" name="Chart 90"/>
        <xdr:cNvGraphicFramePr/>
      </xdr:nvGraphicFramePr>
      <xdr:xfrm>
        <a:off x="361950" y="800100"/>
        <a:ext cx="8039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26</xdr:row>
      <xdr:rowOff>38100</xdr:rowOff>
    </xdr:from>
    <xdr:to>
      <xdr:col>13</xdr:col>
      <xdr:colOff>371475</xdr:colOff>
      <xdr:row>45</xdr:row>
      <xdr:rowOff>171450</xdr:rowOff>
    </xdr:to>
    <xdr:graphicFrame>
      <xdr:nvGraphicFramePr>
        <xdr:cNvPr id="2" name="Chart 91"/>
        <xdr:cNvGraphicFramePr/>
      </xdr:nvGraphicFramePr>
      <xdr:xfrm>
        <a:off x="314325" y="4257675"/>
        <a:ext cx="81057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30</xdr:row>
      <xdr:rowOff>123825</xdr:rowOff>
    </xdr:from>
    <xdr:to>
      <xdr:col>15</xdr:col>
      <xdr:colOff>295275</xdr:colOff>
      <xdr:row>50</xdr:row>
      <xdr:rowOff>152400</xdr:rowOff>
    </xdr:to>
    <xdr:graphicFrame>
      <xdr:nvGraphicFramePr>
        <xdr:cNvPr id="1" name="Chart 103"/>
        <xdr:cNvGraphicFramePr/>
      </xdr:nvGraphicFramePr>
      <xdr:xfrm>
        <a:off x="295275" y="5857875"/>
        <a:ext cx="8534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4</xdr:row>
      <xdr:rowOff>123825</xdr:rowOff>
    </xdr:from>
    <xdr:to>
      <xdr:col>15</xdr:col>
      <xdr:colOff>304800</xdr:colOff>
      <xdr:row>26</xdr:row>
      <xdr:rowOff>0</xdr:rowOff>
    </xdr:to>
    <xdr:graphicFrame>
      <xdr:nvGraphicFramePr>
        <xdr:cNvPr id="2" name="Chart 104"/>
        <xdr:cNvGraphicFramePr/>
      </xdr:nvGraphicFramePr>
      <xdr:xfrm>
        <a:off x="361950" y="876300"/>
        <a:ext cx="8477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514350</xdr:colOff>
      <xdr:row>55</xdr:row>
      <xdr:rowOff>85725</xdr:rowOff>
    </xdr:from>
    <xdr:to>
      <xdr:col>15</xdr:col>
      <xdr:colOff>381000</xdr:colOff>
      <xdr:row>77</xdr:row>
      <xdr:rowOff>104775</xdr:rowOff>
    </xdr:to>
    <xdr:graphicFrame>
      <xdr:nvGraphicFramePr>
        <xdr:cNvPr id="3" name="Chart 107"/>
        <xdr:cNvGraphicFramePr/>
      </xdr:nvGraphicFramePr>
      <xdr:xfrm>
        <a:off x="514350" y="10601325"/>
        <a:ext cx="84010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</xdr:row>
      <xdr:rowOff>9525</xdr:rowOff>
    </xdr:from>
    <xdr:to>
      <xdr:col>15</xdr:col>
      <xdr:colOff>142875</xdr:colOff>
      <xdr:row>61</xdr:row>
      <xdr:rowOff>142875</xdr:rowOff>
    </xdr:to>
    <xdr:graphicFrame>
      <xdr:nvGraphicFramePr>
        <xdr:cNvPr id="1" name="Chart 9"/>
        <xdr:cNvGraphicFramePr/>
      </xdr:nvGraphicFramePr>
      <xdr:xfrm>
        <a:off x="400050" y="5753100"/>
        <a:ext cx="8858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4</xdr:row>
      <xdr:rowOff>142875</xdr:rowOff>
    </xdr:from>
    <xdr:to>
      <xdr:col>15</xdr:col>
      <xdr:colOff>123825</xdr:colOff>
      <xdr:row>30</xdr:row>
      <xdr:rowOff>66675</xdr:rowOff>
    </xdr:to>
    <xdr:graphicFrame>
      <xdr:nvGraphicFramePr>
        <xdr:cNvPr id="2" name="Chart 14"/>
        <xdr:cNvGraphicFramePr/>
      </xdr:nvGraphicFramePr>
      <xdr:xfrm>
        <a:off x="428625" y="828675"/>
        <a:ext cx="8810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  <sheetData sheetId="8">
        <row r="3">
          <cell r="B3" t="str">
            <v>M2</v>
          </cell>
        </row>
        <row r="4">
          <cell r="B4" t="str">
            <v>M1</v>
          </cell>
        </row>
        <row r="7">
          <cell r="AB7">
            <v>38442</v>
          </cell>
          <cell r="AC7">
            <v>38472</v>
          </cell>
          <cell r="AD7">
            <v>38503</v>
          </cell>
          <cell r="AE7">
            <v>38533</v>
          </cell>
          <cell r="AF7">
            <v>38564</v>
          </cell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</row>
        <row r="8">
          <cell r="AB8">
            <v>0.9473950084909514</v>
          </cell>
          <cell r="AC8">
            <v>3.1022448170477457</v>
          </cell>
          <cell r="AD8">
            <v>-0.4527104250240302</v>
          </cell>
          <cell r="AE8">
            <v>1.5844991643956683</v>
          </cell>
          <cell r="AF8">
            <v>2.2291129691554685</v>
          </cell>
          <cell r="AG8">
            <v>-0.8783362075959111</v>
          </cell>
          <cell r="AH8">
            <v>-2.0311193007765493</v>
          </cell>
          <cell r="AI8">
            <v>1.5030860262498926</v>
          </cell>
          <cell r="AJ8">
            <v>0.840754395626258</v>
          </cell>
          <cell r="AK8">
            <v>-0.5574313393873055</v>
          </cell>
          <cell r="AL8">
            <v>2.4536389181423</v>
          </cell>
          <cell r="AM8">
            <v>2.3924522733649876</v>
          </cell>
          <cell r="AN8">
            <v>5.428628552496831</v>
          </cell>
        </row>
        <row r="9">
          <cell r="AB9">
            <v>3.4860399807870035</v>
          </cell>
          <cell r="AC9">
            <v>3.782261416190501</v>
          </cell>
          <cell r="AD9">
            <v>3.5425829646087545</v>
          </cell>
          <cell r="AE9">
            <v>-0.4592355175888246</v>
          </cell>
          <cell r="AF9">
            <v>3.653446844548424</v>
          </cell>
          <cell r="AG9">
            <v>-0.7367944562569547</v>
          </cell>
          <cell r="AH9">
            <v>-3.3139186881736546</v>
          </cell>
          <cell r="AI9">
            <v>0.6002163455232973</v>
          </cell>
          <cell r="AJ9">
            <v>-1.4810470967401466</v>
          </cell>
          <cell r="AK9">
            <v>-1.869648927557499</v>
          </cell>
          <cell r="AL9">
            <v>4.799168176888532</v>
          </cell>
          <cell r="AM9">
            <v>5.032394379553214</v>
          </cell>
          <cell r="AN9">
            <v>6.784294417250051</v>
          </cell>
        </row>
      </sheetData>
      <sheetData sheetId="9">
        <row r="2">
          <cell r="AC2">
            <v>38442</v>
          </cell>
          <cell r="AD2">
            <v>38472</v>
          </cell>
          <cell r="AE2">
            <v>38503</v>
          </cell>
          <cell r="AF2">
            <v>38533</v>
          </cell>
          <cell r="AG2">
            <v>38564</v>
          </cell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</row>
        <row r="3">
          <cell r="AC3">
            <v>1912.7061455699998</v>
          </cell>
          <cell r="AD3">
            <v>2302.37940167</v>
          </cell>
          <cell r="AE3">
            <v>2107.05236838</v>
          </cell>
          <cell r="AF3">
            <v>1874.1086621700001</v>
          </cell>
          <cell r="AG3">
            <v>2354.6779455899996</v>
          </cell>
          <cell r="AH3">
            <v>2159.0558769699996</v>
          </cell>
          <cell r="AI3">
            <v>1818.2111408299995</v>
          </cell>
          <cell r="AJ3">
            <v>2244.9941216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2695.98428512</v>
          </cell>
          <cell r="AO3">
            <v>2458.05358815</v>
          </cell>
        </row>
      </sheetData>
      <sheetData sheetId="10">
        <row r="10">
          <cell r="AA10">
            <v>38442</v>
          </cell>
          <cell r="AB10">
            <v>38472</v>
          </cell>
          <cell r="AC10">
            <v>38503</v>
          </cell>
          <cell r="AD10">
            <v>38533</v>
          </cell>
          <cell r="AE10">
            <v>38564</v>
          </cell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</row>
        <row r="11">
          <cell r="B11" t="str">
            <v>Dom claims</v>
          </cell>
          <cell r="AA11">
            <v>3.6589383574082444</v>
          </cell>
          <cell r="AB11">
            <v>1.1226836722368163</v>
          </cell>
          <cell r="AC11">
            <v>3.3588550766543</v>
          </cell>
          <cell r="AD11">
            <v>2.0751914983666966</v>
          </cell>
          <cell r="AE11">
            <v>-0.45158553090269665</v>
          </cell>
          <cell r="AF11">
            <v>2.5666813635568806</v>
          </cell>
          <cell r="AG11">
            <v>1.7503961138056554</v>
          </cell>
          <cell r="AH11">
            <v>-0.9844430010772701</v>
          </cell>
          <cell r="AI11">
            <v>2.87051915691682</v>
          </cell>
          <cell r="AJ11">
            <v>3.1850287501738674</v>
          </cell>
          <cell r="AK11">
            <v>-1.9992946206865863</v>
          </cell>
          <cell r="AL11">
            <v>2.6492085049404532</v>
          </cell>
          <cell r="AM11">
            <v>1.1086513184873106</v>
          </cell>
        </row>
        <row r="12">
          <cell r="B12" t="str">
            <v>Other Sectors Claims</v>
          </cell>
          <cell r="AA12">
            <v>2.3923169874069745</v>
          </cell>
          <cell r="AB12">
            <v>1.9765002042752875</v>
          </cell>
          <cell r="AC12">
            <v>1.9641104297318202</v>
          </cell>
          <cell r="AD12">
            <v>0.22176876452806404</v>
          </cell>
          <cell r="AE12">
            <v>2.0671738927704517</v>
          </cell>
          <cell r="AF12">
            <v>1.249947427449018</v>
          </cell>
          <cell r="AG12">
            <v>1.1938160015464723</v>
          </cell>
          <cell r="AH12">
            <v>0.9940454605630606</v>
          </cell>
          <cell r="AI12">
            <v>1.9456453252726835</v>
          </cell>
          <cell r="AJ12">
            <v>1.9982868631922939</v>
          </cell>
          <cell r="AK12">
            <v>0.28546783446663965</v>
          </cell>
          <cell r="AL12">
            <v>2.8873975497460442</v>
          </cell>
          <cell r="AM12">
            <v>0.22370936667282285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3">
          <cell r="B113">
            <v>38412</v>
          </cell>
          <cell r="C113">
            <v>438.66</v>
          </cell>
          <cell r="D113">
            <v>65.11</v>
          </cell>
        </row>
        <row r="114">
          <cell r="B114">
            <v>38443</v>
          </cell>
          <cell r="C114">
            <v>410.11</v>
          </cell>
          <cell r="D114">
            <v>64.83</v>
          </cell>
        </row>
        <row r="115">
          <cell r="B115">
            <v>38473</v>
          </cell>
          <cell r="C115">
            <v>410.11</v>
          </cell>
          <cell r="D115">
            <v>64.83</v>
          </cell>
        </row>
        <row r="116">
          <cell r="B116">
            <v>38504</v>
          </cell>
          <cell r="C116">
            <v>450.45</v>
          </cell>
          <cell r="D116">
            <v>67.42</v>
          </cell>
        </row>
        <row r="117">
          <cell r="B117">
            <v>38534</v>
          </cell>
          <cell r="C117">
            <v>484.19</v>
          </cell>
          <cell r="D117">
            <v>66.66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79">
          <cell r="D179">
            <v>38413</v>
          </cell>
          <cell r="F179">
            <v>7.5</v>
          </cell>
          <cell r="K179">
            <v>6.53</v>
          </cell>
          <cell r="L179">
            <v>10.56</v>
          </cell>
        </row>
        <row r="180">
          <cell r="D180">
            <v>38444</v>
          </cell>
          <cell r="F180">
            <v>7</v>
          </cell>
          <cell r="K180">
            <v>6.5</v>
          </cell>
          <cell r="L180">
            <v>10.66</v>
          </cell>
        </row>
        <row r="181">
          <cell r="D181">
            <v>38474</v>
          </cell>
          <cell r="F181">
            <v>7</v>
          </cell>
          <cell r="K181">
            <v>6.31</v>
          </cell>
          <cell r="L181">
            <v>10.58</v>
          </cell>
        </row>
        <row r="182">
          <cell r="D182">
            <v>38505</v>
          </cell>
          <cell r="F182">
            <v>7</v>
          </cell>
          <cell r="K182">
            <v>6.21</v>
          </cell>
          <cell r="L182">
            <v>10.52</v>
          </cell>
        </row>
        <row r="183">
          <cell r="D183">
            <v>38535</v>
          </cell>
          <cell r="F183">
            <v>7</v>
          </cell>
          <cell r="K183">
            <v>6.13</v>
          </cell>
          <cell r="L183">
            <v>10.52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7">
          <cell r="B7">
            <v>38442</v>
          </cell>
          <cell r="C7">
            <v>3</v>
          </cell>
          <cell r="D7">
            <v>1.7</v>
          </cell>
        </row>
        <row r="8">
          <cell r="B8">
            <v>38472</v>
          </cell>
          <cell r="C8">
            <v>3.8</v>
          </cell>
          <cell r="D8">
            <v>1.6</v>
          </cell>
        </row>
        <row r="9">
          <cell r="B9">
            <v>38503</v>
          </cell>
          <cell r="C9">
            <v>3.9</v>
          </cell>
          <cell r="D9">
            <v>0.9</v>
          </cell>
        </row>
        <row r="10">
          <cell r="B10">
            <v>38533</v>
          </cell>
          <cell r="C10">
            <v>3.5</v>
          </cell>
          <cell r="D10">
            <v>1.3</v>
          </cell>
        </row>
        <row r="11">
          <cell r="B11">
            <v>38564</v>
          </cell>
          <cell r="C11">
            <v>4.2</v>
          </cell>
          <cell r="D11">
            <v>1.7</v>
          </cell>
        </row>
        <row r="12">
          <cell r="B12">
            <v>38595</v>
          </cell>
          <cell r="C12">
            <v>4.8</v>
          </cell>
          <cell r="D12">
            <v>2.2</v>
          </cell>
        </row>
        <row r="13">
          <cell r="B13">
            <v>38625</v>
          </cell>
          <cell r="C13">
            <v>4.7</v>
          </cell>
          <cell r="D13">
            <v>2.9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2"/>
  <sheetViews>
    <sheetView workbookViewId="0" topLeftCell="A1">
      <selection activeCell="A2" sqref="A2:A29"/>
    </sheetView>
  </sheetViews>
  <sheetFormatPr defaultColWidth="9.140625" defaultRowHeight="12"/>
  <cols>
    <col min="1" max="1" width="113.28125" style="0" bestFit="1" customWidth="1"/>
  </cols>
  <sheetData>
    <row r="2" ht="37.5">
      <c r="A2" s="34"/>
    </row>
    <row r="3" ht="37.5">
      <c r="A3" s="34"/>
    </row>
    <row r="4" ht="33">
      <c r="A4" s="35"/>
    </row>
    <row r="5" ht="37.5">
      <c r="A5" s="34"/>
    </row>
    <row r="6" ht="33">
      <c r="A6" s="35"/>
    </row>
    <row r="7" ht="36.75">
      <c r="A7" s="36"/>
    </row>
    <row r="8" ht="37.5">
      <c r="A8" s="36"/>
    </row>
    <row r="9" ht="37.5">
      <c r="A9" s="36"/>
    </row>
    <row r="11" ht="40.5">
      <c r="A11" s="37" t="s">
        <v>51</v>
      </c>
    </row>
    <row r="12" ht="40.5">
      <c r="A12" s="37"/>
    </row>
    <row r="13" ht="40.5">
      <c r="A13" s="37"/>
    </row>
    <row r="14" ht="40.5">
      <c r="A14" s="37"/>
    </row>
    <row r="15" ht="40.5">
      <c r="A15" s="37" t="s">
        <v>52</v>
      </c>
    </row>
    <row r="16" ht="40.5">
      <c r="A16" s="37"/>
    </row>
    <row r="17" ht="40.5">
      <c r="A17" s="37"/>
    </row>
    <row r="18" ht="40.5">
      <c r="A18" s="37" t="s">
        <v>53</v>
      </c>
    </row>
    <row r="19" ht="40.5">
      <c r="A19" s="37"/>
    </row>
    <row r="20" ht="40.5">
      <c r="A20" s="37"/>
    </row>
    <row r="21" ht="40.5">
      <c r="A21" s="39">
        <v>38807</v>
      </c>
    </row>
    <row r="22" ht="40.5">
      <c r="A22" s="38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20">
      <selection activeCell="B2" sqref="B2:F52"/>
    </sheetView>
  </sheetViews>
  <sheetFormatPr defaultColWidth="9.140625" defaultRowHeight="12"/>
  <cols>
    <col min="2" max="2" width="43.28125" style="0" bestFit="1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7" t="s">
        <v>153</v>
      </c>
      <c r="C2" s="188"/>
      <c r="D2" s="188"/>
      <c r="E2" s="188"/>
      <c r="F2" s="188"/>
    </row>
    <row r="3" spans="2:6" ht="11.25">
      <c r="B3" s="50"/>
      <c r="C3" s="29"/>
      <c r="D3" s="29"/>
      <c r="E3" s="108"/>
      <c r="F3" s="108" t="s">
        <v>137</v>
      </c>
    </row>
    <row r="4" spans="2:6" ht="11.25">
      <c r="B4" s="51"/>
      <c r="C4" s="16">
        <v>38776</v>
      </c>
      <c r="D4" s="16">
        <v>38807</v>
      </c>
      <c r="E4" s="110" t="s">
        <v>46</v>
      </c>
      <c r="F4" s="110" t="s">
        <v>46</v>
      </c>
    </row>
    <row r="5" spans="2:6" ht="11.25">
      <c r="B5" s="31"/>
      <c r="C5" s="44"/>
      <c r="D5" s="44"/>
      <c r="E5" s="45"/>
      <c r="F5" s="45"/>
    </row>
    <row r="6" spans="2:9" ht="11.25">
      <c r="B6" s="52" t="s">
        <v>0</v>
      </c>
      <c r="C6" s="114">
        <v>418.3940563500005</v>
      </c>
      <c r="D6" s="114">
        <v>581.93235938</v>
      </c>
      <c r="E6" s="114">
        <v>163.5383030299995</v>
      </c>
      <c r="F6" s="114">
        <v>39.08714776129475</v>
      </c>
      <c r="I6" s="103"/>
    </row>
    <row r="7" spans="2:6" ht="11.25">
      <c r="B7" s="52" t="s">
        <v>89</v>
      </c>
      <c r="C7" s="114">
        <v>25823.37077546</v>
      </c>
      <c r="D7" s="114">
        <v>26109.661916040004</v>
      </c>
      <c r="E7" s="117">
        <v>286.29114058000414</v>
      </c>
      <c r="F7" s="114">
        <v>1.1086513184873106</v>
      </c>
    </row>
    <row r="8" spans="2:6" ht="11.25">
      <c r="B8" s="54" t="s">
        <v>107</v>
      </c>
      <c r="C8" s="115">
        <v>777.9828898700002</v>
      </c>
      <c r="D8" s="115">
        <v>956.49786724</v>
      </c>
      <c r="E8" s="118">
        <v>178.51497736999977</v>
      </c>
      <c r="F8" s="115">
        <v>22.945874478014467</v>
      </c>
    </row>
    <row r="9" spans="2:6" ht="11.25">
      <c r="B9" s="54" t="s">
        <v>54</v>
      </c>
      <c r="C9" s="114">
        <v>25045.38788559</v>
      </c>
      <c r="D9" s="114">
        <v>25153.164048800005</v>
      </c>
      <c r="E9" s="118">
        <v>107.7761632100046</v>
      </c>
      <c r="F9" s="115">
        <v>0.43032339408092857</v>
      </c>
    </row>
    <row r="10" spans="2:6" ht="11.25">
      <c r="B10" s="87" t="s">
        <v>113</v>
      </c>
      <c r="C10" s="115">
        <v>31.221</v>
      </c>
      <c r="D10" s="115">
        <v>86.52</v>
      </c>
      <c r="E10" s="118">
        <v>55.29899999999999</v>
      </c>
      <c r="F10" s="115">
        <v>177.12116844431628</v>
      </c>
    </row>
    <row r="11" spans="2:6" ht="11.25">
      <c r="B11" s="87" t="s">
        <v>114</v>
      </c>
      <c r="C11" s="115">
        <v>32.127</v>
      </c>
      <c r="D11" s="115">
        <v>28.717</v>
      </c>
      <c r="E11" s="118">
        <v>-3.41</v>
      </c>
      <c r="F11" s="115">
        <v>-10.61412519064962</v>
      </c>
    </row>
    <row r="12" spans="2:6" ht="11.25">
      <c r="B12" s="87" t="s">
        <v>115</v>
      </c>
      <c r="C12" s="115">
        <v>285.428</v>
      </c>
      <c r="D12" s="115">
        <v>289.71299999999997</v>
      </c>
      <c r="E12" s="118">
        <v>4.284999999999968</v>
      </c>
      <c r="F12" s="115">
        <v>1.5012542567652676</v>
      </c>
    </row>
    <row r="13" spans="2:6" ht="11.25">
      <c r="B13" s="87" t="s">
        <v>116</v>
      </c>
      <c r="C13" s="115">
        <v>8964.192000000001</v>
      </c>
      <c r="D13" s="115">
        <v>8701.632000000001</v>
      </c>
      <c r="E13" s="118">
        <v>-262.5599999999995</v>
      </c>
      <c r="F13" s="115">
        <v>-2.928986795463545</v>
      </c>
    </row>
    <row r="14" spans="2:9" ht="11.25">
      <c r="B14" s="87" t="s">
        <v>117</v>
      </c>
      <c r="C14" s="115">
        <v>15732.41988559</v>
      </c>
      <c r="D14" s="115">
        <v>16046.5820488</v>
      </c>
      <c r="E14" s="118">
        <v>314.1621632100014</v>
      </c>
      <c r="F14" s="115">
        <v>1.9969093470341204</v>
      </c>
      <c r="G14" s="100"/>
      <c r="H14" s="100"/>
      <c r="I14" s="103"/>
    </row>
    <row r="15" spans="2:6" ht="11.25">
      <c r="B15" s="52" t="s">
        <v>47</v>
      </c>
      <c r="C15" s="114">
        <v>-8019.575688490004</v>
      </c>
      <c r="D15" s="114">
        <v>-7480.189828739998</v>
      </c>
      <c r="E15" s="117">
        <v>539.3858597500057</v>
      </c>
      <c r="F15" s="114">
        <v>-6.725865316342765</v>
      </c>
    </row>
    <row r="16" spans="2:6" ht="12" thickBot="1">
      <c r="B16" s="55" t="s">
        <v>57</v>
      </c>
      <c r="C16" s="116">
        <v>18222.189143319996</v>
      </c>
      <c r="D16" s="116">
        <v>19211.404446680004</v>
      </c>
      <c r="E16" s="119">
        <v>989.215303360008</v>
      </c>
      <c r="F16" s="116">
        <v>5.428630421842815</v>
      </c>
    </row>
    <row r="17" spans="2:6" ht="12" thickBot="1">
      <c r="B17" s="57"/>
      <c r="C17" s="46"/>
      <c r="D17" s="46"/>
      <c r="E17" s="46"/>
      <c r="F17" s="46"/>
    </row>
    <row r="18" spans="2:6" ht="11.25">
      <c r="B18" s="187" t="s">
        <v>154</v>
      </c>
      <c r="C18" s="188"/>
      <c r="D18" s="188"/>
      <c r="E18" s="188"/>
      <c r="F18" s="188"/>
    </row>
    <row r="19" spans="2:6" ht="11.25">
      <c r="B19" s="50"/>
      <c r="C19" s="29"/>
      <c r="D19" s="29"/>
      <c r="E19" s="108"/>
      <c r="F19" s="108" t="s">
        <v>146</v>
      </c>
    </row>
    <row r="20" spans="2:6" ht="11.25">
      <c r="B20" s="51"/>
      <c r="C20" s="16">
        <v>38776</v>
      </c>
      <c r="D20" s="16">
        <v>38807</v>
      </c>
      <c r="E20" s="110" t="s">
        <v>46</v>
      </c>
      <c r="F20" s="110" t="s">
        <v>147</v>
      </c>
    </row>
    <row r="21" spans="2:6" ht="11.25">
      <c r="B21" s="58"/>
      <c r="C21" s="47"/>
      <c r="D21" s="47"/>
      <c r="E21" s="47"/>
      <c r="F21" s="47"/>
    </row>
    <row r="22" spans="2:6" ht="11.25">
      <c r="B22" s="52" t="s">
        <v>57</v>
      </c>
      <c r="C22" s="114">
        <v>18222.195828539996</v>
      </c>
      <c r="D22" s="114">
        <v>19211.411154180005</v>
      </c>
      <c r="E22" s="114">
        <v>989.2153256400088</v>
      </c>
      <c r="F22" s="114">
        <v>5.428628552496831</v>
      </c>
    </row>
    <row r="23" spans="2:7" ht="11.25">
      <c r="B23" s="54" t="s">
        <v>58</v>
      </c>
      <c r="C23" s="115">
        <v>662.99512375</v>
      </c>
      <c r="D23" s="115">
        <v>680.9828969</v>
      </c>
      <c r="E23" s="115">
        <v>17.987773150000066</v>
      </c>
      <c r="F23" s="115">
        <v>2.713107910697521</v>
      </c>
      <c r="G23" s="100"/>
    </row>
    <row r="24" spans="2:6" ht="11.25">
      <c r="B24" s="54" t="s">
        <v>59</v>
      </c>
      <c r="C24" s="115">
        <v>9693.62094311</v>
      </c>
      <c r="D24" s="115">
        <v>10378.256495600002</v>
      </c>
      <c r="E24" s="115">
        <v>684.6355524900027</v>
      </c>
      <c r="F24" s="115">
        <v>7.062743184492125</v>
      </c>
    </row>
    <row r="25" spans="2:6" ht="11.25">
      <c r="B25" s="54" t="s">
        <v>60</v>
      </c>
      <c r="C25" s="115">
        <v>7865.579761679999</v>
      </c>
      <c r="D25" s="115">
        <v>8152.171761680001</v>
      </c>
      <c r="E25" s="115">
        <v>286.59200000000146</v>
      </c>
      <c r="F25" s="115">
        <v>3.643622068346919</v>
      </c>
    </row>
    <row r="26" spans="2:6" ht="12" thickBot="1">
      <c r="B26" s="59"/>
      <c r="C26" s="18"/>
      <c r="D26" s="18"/>
      <c r="E26" s="18"/>
      <c r="F26" s="18"/>
    </row>
    <row r="27" spans="2:6" ht="11.25">
      <c r="B27" s="66"/>
      <c r="C27" s="32"/>
      <c r="D27" s="32"/>
      <c r="E27" s="32"/>
      <c r="F27" s="32"/>
    </row>
    <row r="28" spans="2:6" ht="11.25">
      <c r="B28" s="66"/>
      <c r="C28" s="32"/>
      <c r="D28" s="32"/>
      <c r="E28" s="32"/>
      <c r="F28" s="32"/>
    </row>
    <row r="29" spans="2:6" ht="12" thickBot="1">
      <c r="B29" s="60"/>
      <c r="C29" s="46"/>
      <c r="D29" s="46"/>
      <c r="E29" s="46"/>
      <c r="F29" s="46"/>
    </row>
    <row r="30" spans="2:6" ht="11.25">
      <c r="B30" s="187" t="s">
        <v>155</v>
      </c>
      <c r="C30" s="188"/>
      <c r="D30" s="188"/>
      <c r="E30" s="188"/>
      <c r="F30" s="188"/>
    </row>
    <row r="31" spans="2:6" ht="11.25">
      <c r="B31" s="50"/>
      <c r="C31" s="29"/>
      <c r="D31" s="29"/>
      <c r="E31" s="106"/>
      <c r="F31" s="108" t="s">
        <v>137</v>
      </c>
    </row>
    <row r="32" spans="2:6" ht="11.25">
      <c r="B32" s="51"/>
      <c r="C32" s="16">
        <v>38776</v>
      </c>
      <c r="D32" s="16">
        <v>38807</v>
      </c>
      <c r="E32" s="107" t="s">
        <v>46</v>
      </c>
      <c r="F32" s="109" t="s">
        <v>46</v>
      </c>
    </row>
    <row r="33" spans="2:6" ht="11.25">
      <c r="B33" s="49"/>
      <c r="C33" s="48"/>
      <c r="D33" s="48"/>
      <c r="E33" s="49"/>
      <c r="F33" s="49"/>
    </row>
    <row r="34" spans="2:6" ht="11.25">
      <c r="B34" s="61" t="s">
        <v>126</v>
      </c>
      <c r="C34" s="120">
        <v>24664.460373759997</v>
      </c>
      <c r="D34" s="120">
        <v>24712.63937376</v>
      </c>
      <c r="E34" s="120">
        <v>48.179000000003725</v>
      </c>
      <c r="F34" s="120">
        <v>0.19533774211926547</v>
      </c>
    </row>
    <row r="35" spans="2:6" ht="11.25">
      <c r="B35" s="88" t="s">
        <v>55</v>
      </c>
      <c r="C35" s="121">
        <v>0</v>
      </c>
      <c r="D35" s="121">
        <v>0</v>
      </c>
      <c r="E35" s="121">
        <v>0</v>
      </c>
      <c r="F35" s="121">
        <v>0</v>
      </c>
    </row>
    <row r="36" spans="2:6" ht="11.25">
      <c r="B36" s="88" t="s">
        <v>61</v>
      </c>
      <c r="C36" s="120">
        <v>8891.904</v>
      </c>
      <c r="D36" s="120">
        <v>8628.46</v>
      </c>
      <c r="E36" s="120">
        <v>-263.4439999999995</v>
      </c>
      <c r="F36" s="120">
        <v>-2.962740038578908</v>
      </c>
    </row>
    <row r="37" spans="2:6" ht="11.25">
      <c r="B37" s="62" t="s">
        <v>138</v>
      </c>
      <c r="C37" s="122">
        <v>7024.109</v>
      </c>
      <c r="D37" s="122">
        <v>6807.111000000001</v>
      </c>
      <c r="E37" s="121">
        <v>-216.9979999999996</v>
      </c>
      <c r="F37" s="121">
        <v>-3.0893313301373824</v>
      </c>
    </row>
    <row r="38" spans="2:6" ht="11.25">
      <c r="B38" s="63" t="s">
        <v>143</v>
      </c>
      <c r="C38" s="64">
        <v>692.455</v>
      </c>
      <c r="D38" s="64">
        <v>735.692</v>
      </c>
      <c r="E38" s="121">
        <v>43.236999999999966</v>
      </c>
      <c r="F38" s="121">
        <v>6.244015856626057</v>
      </c>
    </row>
    <row r="39" spans="2:6" ht="11.25">
      <c r="B39" s="63" t="s">
        <v>144</v>
      </c>
      <c r="C39" s="64">
        <v>6331.654</v>
      </c>
      <c r="D39" s="64">
        <v>6071.419</v>
      </c>
      <c r="E39" s="121">
        <v>-260.2350000000006</v>
      </c>
      <c r="F39" s="121">
        <v>-4.110063499995429</v>
      </c>
    </row>
    <row r="40" spans="2:6" ht="11.25">
      <c r="B40" s="62" t="s">
        <v>139</v>
      </c>
      <c r="C40" s="64">
        <v>1049.252</v>
      </c>
      <c r="D40" s="64">
        <v>1064.147</v>
      </c>
      <c r="E40" s="121">
        <v>14.895</v>
      </c>
      <c r="F40" s="121">
        <v>1.4195827122559674</v>
      </c>
    </row>
    <row r="41" spans="2:6" ht="11.25">
      <c r="B41" s="62" t="s">
        <v>140</v>
      </c>
      <c r="C41" s="64">
        <v>39.188</v>
      </c>
      <c r="D41" s="64">
        <v>40.209</v>
      </c>
      <c r="E41" s="121">
        <v>1.0210000000000008</v>
      </c>
      <c r="F41" s="121">
        <v>2.6053894049198756</v>
      </c>
    </row>
    <row r="42" spans="2:6" ht="11.25">
      <c r="B42" s="62" t="s">
        <v>141</v>
      </c>
      <c r="C42" s="64">
        <v>779.355</v>
      </c>
      <c r="D42" s="64">
        <v>716.993</v>
      </c>
      <c r="E42" s="121">
        <v>-62.361999999999966</v>
      </c>
      <c r="F42" s="121">
        <v>-8.001745032751439</v>
      </c>
    </row>
    <row r="43" spans="2:6" ht="11.25">
      <c r="B43" s="88" t="s">
        <v>97</v>
      </c>
      <c r="C43" s="123">
        <v>15718.71937376</v>
      </c>
      <c r="D43" s="123">
        <v>16032.978373760001</v>
      </c>
      <c r="E43" s="120">
        <v>314.25900000000183</v>
      </c>
      <c r="F43" s="120">
        <v>1.999265923180798</v>
      </c>
    </row>
    <row r="44" spans="2:7" ht="11.25">
      <c r="B44" s="62" t="s">
        <v>142</v>
      </c>
      <c r="C44" s="65">
        <v>12378.48737376</v>
      </c>
      <c r="D44" s="65">
        <v>12640.72137376</v>
      </c>
      <c r="E44" s="121">
        <v>262.2340000000004</v>
      </c>
      <c r="F44" s="121">
        <v>2.1184656257426555</v>
      </c>
      <c r="G44" s="93"/>
    </row>
    <row r="45" spans="2:8" ht="11.25">
      <c r="B45" s="63" t="s">
        <v>143</v>
      </c>
      <c r="C45" s="64">
        <v>10036.031240029999</v>
      </c>
      <c r="D45" s="64">
        <v>10255.913240029999</v>
      </c>
      <c r="E45" s="121">
        <v>219.8819999999996</v>
      </c>
      <c r="F45" s="121">
        <v>2.190925822579866</v>
      </c>
      <c r="G45" s="93"/>
      <c r="H45" s="93"/>
    </row>
    <row r="46" spans="2:6" ht="11.25">
      <c r="B46" s="63" t="s">
        <v>144</v>
      </c>
      <c r="C46" s="64">
        <v>2342.45613373</v>
      </c>
      <c r="D46" s="64">
        <v>2384.80813373</v>
      </c>
      <c r="E46" s="121">
        <v>42.35199999999986</v>
      </c>
      <c r="F46" s="121">
        <v>1.8080167816231774</v>
      </c>
    </row>
    <row r="47" spans="2:6" ht="11.25">
      <c r="B47" s="62" t="s">
        <v>139</v>
      </c>
      <c r="C47" s="64">
        <v>2965.046</v>
      </c>
      <c r="D47" s="64">
        <v>3015.866</v>
      </c>
      <c r="E47" s="121">
        <v>50.820000000000164</v>
      </c>
      <c r="F47" s="121">
        <v>1.7139700362152954</v>
      </c>
    </row>
    <row r="48" spans="2:6" ht="11.25">
      <c r="B48" s="62" t="s">
        <v>140</v>
      </c>
      <c r="C48" s="64">
        <v>60.804</v>
      </c>
      <c r="D48" s="64">
        <v>59.781</v>
      </c>
      <c r="E48" s="121">
        <v>-1.0230000000000032</v>
      </c>
      <c r="F48" s="121">
        <v>-1.6824551016380553</v>
      </c>
    </row>
    <row r="49" spans="2:7" ht="11.25">
      <c r="B49" s="62" t="s">
        <v>141</v>
      </c>
      <c r="C49" s="64">
        <v>314.382</v>
      </c>
      <c r="D49" s="64">
        <v>316.61</v>
      </c>
      <c r="E49" s="121">
        <v>2.2280000000000086</v>
      </c>
      <c r="F49" s="121">
        <v>0.708691973459043</v>
      </c>
      <c r="G49" s="93"/>
    </row>
    <row r="50" spans="2:6" ht="12" thickBot="1">
      <c r="B50" s="97" t="s">
        <v>127</v>
      </c>
      <c r="C50" s="124">
        <v>53.836999999999996</v>
      </c>
      <c r="D50" s="124">
        <v>51.201</v>
      </c>
      <c r="E50" s="125">
        <v>-2.6359999999999957</v>
      </c>
      <c r="F50" s="125">
        <v>-4.896260935787647</v>
      </c>
    </row>
    <row r="51" spans="2:6" ht="11.25">
      <c r="B51" s="111" t="s">
        <v>149</v>
      </c>
      <c r="C51" s="67"/>
      <c r="D51" s="67"/>
      <c r="E51" s="67"/>
      <c r="F51" s="66"/>
    </row>
    <row r="52" ht="11.25">
      <c r="B52" s="113"/>
    </row>
    <row r="53" ht="11.25">
      <c r="B53" s="112"/>
    </row>
    <row r="54" ht="11.25">
      <c r="B54" s="112"/>
    </row>
    <row r="55" ht="11.25">
      <c r="B55" s="102"/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showGridLines="0" workbookViewId="0" topLeftCell="A1">
      <selection activeCell="A4" sqref="A4:N48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4" spans="1:12" ht="15.75">
      <c r="A4" s="189" t="s">
        <v>145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91"/>
    </row>
    <row r="25" spans="1:12" ht="15.75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1"/>
      <c r="L25" s="191"/>
    </row>
    <row r="26" spans="1:12" ht="15.75">
      <c r="A26" s="189" t="s">
        <v>150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1"/>
      <c r="L26" s="191"/>
    </row>
    <row r="27" spans="2:12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128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129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A4:L4"/>
    <mergeCell ref="A25:L25"/>
    <mergeCell ref="A26:L26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="75" zoomScaleNormal="75" zoomScaleSheetLayoutView="75" workbookViewId="0" topLeftCell="A1">
      <selection activeCell="A1" sqref="A1:C83"/>
    </sheetView>
  </sheetViews>
  <sheetFormatPr defaultColWidth="9.140625" defaultRowHeight="12"/>
  <cols>
    <col min="1" max="1" width="82.8515625" style="2" customWidth="1"/>
    <col min="2" max="2" width="12.7109375" style="2" customWidth="1"/>
    <col min="3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48</v>
      </c>
    </row>
    <row r="2" spans="1:5" ht="12.75" thickBot="1">
      <c r="A2" s="3" t="s">
        <v>1</v>
      </c>
      <c r="B2" s="89">
        <v>38776</v>
      </c>
      <c r="C2" s="89">
        <v>38807</v>
      </c>
      <c r="D2" s="4"/>
      <c r="E2" s="5"/>
    </row>
    <row r="3" spans="1:5" ht="12">
      <c r="A3" s="6"/>
      <c r="B3" s="42"/>
      <c r="C3" s="42"/>
      <c r="D3" s="7"/>
      <c r="E3" s="5"/>
    </row>
    <row r="4" spans="1:5" ht="12">
      <c r="A4" s="6" t="s">
        <v>2</v>
      </c>
      <c r="B4" s="43">
        <v>7</v>
      </c>
      <c r="C4" s="43">
        <v>7</v>
      </c>
      <c r="D4" s="33"/>
      <c r="E4" s="5"/>
    </row>
    <row r="5" spans="1:5" ht="12">
      <c r="A5" s="6"/>
      <c r="B5" s="43"/>
      <c r="C5" s="43"/>
      <c r="D5" s="8"/>
      <c r="E5" s="5"/>
    </row>
    <row r="6" spans="1:5" ht="12">
      <c r="A6" s="6" t="s">
        <v>42</v>
      </c>
      <c r="B6" s="43">
        <v>11.75</v>
      </c>
      <c r="C6" s="43">
        <v>11.75</v>
      </c>
      <c r="D6" s="33"/>
      <c r="E6" s="5"/>
    </row>
    <row r="7" spans="1:5" ht="12">
      <c r="A7" s="6"/>
      <c r="B7" s="43"/>
      <c r="C7" s="43"/>
      <c r="D7" s="8"/>
      <c r="E7" s="5"/>
    </row>
    <row r="8" spans="1:5" ht="12">
      <c r="A8" s="6" t="s">
        <v>3</v>
      </c>
      <c r="B8" s="43">
        <v>12</v>
      </c>
      <c r="C8" s="43">
        <v>12</v>
      </c>
      <c r="D8" s="8"/>
      <c r="E8" s="5"/>
    </row>
    <row r="9" spans="1:5" ht="12">
      <c r="A9" s="6"/>
      <c r="B9" s="43"/>
      <c r="C9" s="43"/>
      <c r="D9" s="8"/>
      <c r="E9" s="5"/>
    </row>
    <row r="10" spans="1:5" ht="12">
      <c r="A10" s="6" t="s">
        <v>4</v>
      </c>
      <c r="B10" s="43">
        <v>10.46</v>
      </c>
      <c r="C10" s="43">
        <v>10.78</v>
      </c>
      <c r="D10" s="8"/>
      <c r="E10" s="5"/>
    </row>
    <row r="11" spans="1:5" ht="12">
      <c r="A11" s="6"/>
      <c r="B11" s="43"/>
      <c r="C11" s="43"/>
      <c r="D11" s="8"/>
      <c r="E11" s="5"/>
    </row>
    <row r="12" spans="1:5" ht="12">
      <c r="A12" s="6" t="s">
        <v>5</v>
      </c>
      <c r="B12" s="43">
        <v>6.97</v>
      </c>
      <c r="C12" s="43">
        <v>6.11</v>
      </c>
      <c r="D12" s="8"/>
      <c r="E12" s="5"/>
    </row>
    <row r="13" spans="1:5" ht="12">
      <c r="A13" s="6"/>
      <c r="B13" s="43"/>
      <c r="C13" s="43"/>
      <c r="D13" s="8"/>
      <c r="E13" s="5"/>
    </row>
    <row r="14" spans="1:5" ht="12">
      <c r="A14" s="9" t="s">
        <v>6</v>
      </c>
      <c r="B14" s="43"/>
      <c r="C14" s="43"/>
      <c r="D14" s="5"/>
      <c r="E14" s="5"/>
    </row>
    <row r="15" spans="1:3" ht="12">
      <c r="A15" s="6"/>
      <c r="B15" s="43"/>
      <c r="C15" s="43"/>
    </row>
    <row r="16" spans="1:3" ht="12">
      <c r="A16" s="6" t="s">
        <v>7</v>
      </c>
      <c r="B16" s="43">
        <v>6.94</v>
      </c>
      <c r="C16" s="43">
        <v>6.67</v>
      </c>
    </row>
    <row r="17" spans="1:3" ht="12">
      <c r="A17" s="6" t="s">
        <v>41</v>
      </c>
      <c r="B17" s="43">
        <v>7.26</v>
      </c>
      <c r="C17" s="43">
        <v>6.96</v>
      </c>
    </row>
    <row r="18" spans="1:3" ht="12">
      <c r="A18" s="6" t="s">
        <v>8</v>
      </c>
      <c r="B18" s="96">
        <v>50</v>
      </c>
      <c r="C18" s="96">
        <v>150</v>
      </c>
    </row>
    <row r="19" spans="1:3" ht="12">
      <c r="A19" s="6" t="s">
        <v>9</v>
      </c>
      <c r="B19" s="96">
        <v>60</v>
      </c>
      <c r="C19" s="96">
        <v>200</v>
      </c>
    </row>
    <row r="20" spans="1:3" ht="12">
      <c r="A20" s="6"/>
      <c r="B20" s="43"/>
      <c r="C20" s="43"/>
    </row>
    <row r="21" spans="1:3" ht="12">
      <c r="A21" s="9" t="s">
        <v>10</v>
      </c>
      <c r="B21" s="43"/>
      <c r="C21" s="43"/>
    </row>
    <row r="22" spans="1:3" ht="12">
      <c r="A22" s="6"/>
      <c r="B22" s="43"/>
      <c r="C22" s="43"/>
    </row>
    <row r="23" spans="1:3" ht="12">
      <c r="A23" s="6" t="s">
        <v>7</v>
      </c>
      <c r="B23" s="96">
        <v>6.97</v>
      </c>
      <c r="C23" s="96">
        <v>6.85</v>
      </c>
    </row>
    <row r="24" spans="1:3" ht="12">
      <c r="A24" s="6" t="s">
        <v>40</v>
      </c>
      <c r="B24" s="43">
        <v>7.35</v>
      </c>
      <c r="C24" s="43">
        <v>7.22</v>
      </c>
    </row>
    <row r="25" spans="1:3" ht="12">
      <c r="A25" s="6" t="s">
        <v>8</v>
      </c>
      <c r="B25" s="96">
        <v>200</v>
      </c>
      <c r="C25" s="96">
        <v>400</v>
      </c>
    </row>
    <row r="26" spans="1:3" ht="12">
      <c r="A26" s="6" t="s">
        <v>9</v>
      </c>
      <c r="B26" s="96">
        <v>230</v>
      </c>
      <c r="C26" s="96">
        <v>520</v>
      </c>
    </row>
    <row r="27" spans="1:3" ht="12">
      <c r="A27" s="6"/>
      <c r="B27" s="43"/>
      <c r="C27" s="43"/>
    </row>
    <row r="28" spans="1:3" ht="12">
      <c r="A28" s="9" t="s">
        <v>43</v>
      </c>
      <c r="B28" s="43"/>
      <c r="C28" s="43"/>
    </row>
    <row r="29" spans="1:3" ht="12">
      <c r="A29" s="6"/>
      <c r="B29" s="91"/>
      <c r="C29" s="91"/>
    </row>
    <row r="30" spans="1:3" ht="12">
      <c r="A30" s="6" t="s">
        <v>7</v>
      </c>
      <c r="B30" s="96">
        <v>7.12</v>
      </c>
      <c r="C30" s="96">
        <v>6.98</v>
      </c>
    </row>
    <row r="31" spans="1:3" ht="12">
      <c r="A31" s="6" t="s">
        <v>40</v>
      </c>
      <c r="B31" s="96">
        <v>7.67</v>
      </c>
      <c r="C31" s="96">
        <v>7.5</v>
      </c>
    </row>
    <row r="32" spans="1:3" ht="12">
      <c r="A32" s="6" t="s">
        <v>8</v>
      </c>
      <c r="B32" s="96">
        <v>100</v>
      </c>
      <c r="C32" s="96">
        <v>230</v>
      </c>
    </row>
    <row r="33" spans="1:3" ht="12">
      <c r="A33" s="6" t="s">
        <v>9</v>
      </c>
      <c r="B33" s="43">
        <v>150</v>
      </c>
      <c r="C33" s="43">
        <v>300</v>
      </c>
    </row>
    <row r="34" spans="1:3" ht="12">
      <c r="A34" s="6"/>
      <c r="B34" s="43"/>
      <c r="C34" s="43"/>
    </row>
    <row r="35" spans="1:3" ht="12">
      <c r="A35" s="6"/>
      <c r="B35" s="43"/>
      <c r="C35" s="43"/>
    </row>
    <row r="36" spans="1:3" ht="12">
      <c r="A36" s="6"/>
      <c r="B36" s="43"/>
      <c r="C36" s="43"/>
    </row>
    <row r="37" spans="1:3" ht="12">
      <c r="A37" s="9" t="s">
        <v>44</v>
      </c>
      <c r="B37" s="43">
        <v>4982.76</v>
      </c>
      <c r="C37" s="43">
        <v>4742.76</v>
      </c>
    </row>
    <row r="38" spans="1:3" ht="12">
      <c r="A38" s="6"/>
      <c r="B38" s="43"/>
      <c r="C38" s="43"/>
    </row>
    <row r="39" spans="1:3" ht="12">
      <c r="A39" s="6"/>
      <c r="B39" s="40"/>
      <c r="C39" s="40"/>
    </row>
    <row r="40" spans="1:3" ht="12.75" thickBot="1">
      <c r="A40" s="6"/>
      <c r="B40" s="40"/>
      <c r="C40" s="40"/>
    </row>
    <row r="41" spans="1:3" ht="12.75" thickBot="1">
      <c r="A41" s="3" t="s">
        <v>11</v>
      </c>
      <c r="B41" s="89">
        <v>38776</v>
      </c>
      <c r="C41" s="89">
        <v>38807</v>
      </c>
    </row>
    <row r="42" spans="1:3" ht="12">
      <c r="A42" s="6"/>
      <c r="B42" s="40"/>
      <c r="C42" s="40"/>
    </row>
    <row r="43" spans="1:3" ht="12">
      <c r="A43" s="9" t="s">
        <v>12</v>
      </c>
      <c r="B43" s="40"/>
      <c r="C43" s="40"/>
    </row>
    <row r="44" spans="1:3" ht="12">
      <c r="A44" s="10" t="s">
        <v>136</v>
      </c>
      <c r="B44" s="40"/>
      <c r="C44" s="40"/>
    </row>
    <row r="45" spans="1:3" ht="12">
      <c r="A45" s="6" t="s">
        <v>13</v>
      </c>
      <c r="B45" s="90">
        <v>10.5</v>
      </c>
      <c r="C45" s="90">
        <v>8.46</v>
      </c>
    </row>
    <row r="46" spans="1:3" ht="12">
      <c r="A46" s="6" t="s">
        <v>8</v>
      </c>
      <c r="B46" s="90">
        <v>80</v>
      </c>
      <c r="C46" s="90">
        <v>40</v>
      </c>
    </row>
    <row r="47" spans="1:3" ht="12">
      <c r="A47" s="6" t="s">
        <v>9</v>
      </c>
      <c r="B47" s="90">
        <v>0</v>
      </c>
      <c r="C47" s="90">
        <v>0</v>
      </c>
    </row>
    <row r="48" spans="1:3" ht="12">
      <c r="A48" s="6"/>
      <c r="B48" s="43"/>
      <c r="C48" s="43"/>
    </row>
    <row r="49" spans="1:3" ht="12">
      <c r="A49" s="6" t="s">
        <v>14</v>
      </c>
      <c r="B49" s="96">
        <v>5887.05</v>
      </c>
      <c r="C49" s="96">
        <v>5927</v>
      </c>
    </row>
    <row r="50" spans="1:3" ht="12.75" thickBot="1">
      <c r="A50" s="6"/>
      <c r="B50" s="40"/>
      <c r="C50" s="40"/>
    </row>
    <row r="51" spans="1:3" ht="12.75" thickBot="1">
      <c r="A51" s="3" t="s">
        <v>15</v>
      </c>
      <c r="B51" s="89">
        <v>38776</v>
      </c>
      <c r="C51" s="89">
        <v>38807</v>
      </c>
    </row>
    <row r="52" spans="1:3" ht="12">
      <c r="A52" s="6"/>
      <c r="B52" s="40"/>
      <c r="C52" s="40"/>
    </row>
    <row r="53" spans="1:3" ht="12">
      <c r="A53" s="9" t="s">
        <v>16</v>
      </c>
      <c r="B53" s="40"/>
      <c r="C53" s="40"/>
    </row>
    <row r="54" spans="1:3" ht="12">
      <c r="A54" s="6"/>
      <c r="B54" s="40"/>
      <c r="C54" s="40"/>
    </row>
    <row r="55" spans="1:5" ht="12">
      <c r="A55" s="6" t="s">
        <v>17</v>
      </c>
      <c r="B55" s="95">
        <v>6.42</v>
      </c>
      <c r="C55" s="95">
        <v>25.01</v>
      </c>
      <c r="E55" s="11"/>
    </row>
    <row r="56" spans="1:10" ht="12">
      <c r="A56" s="6" t="s">
        <v>18</v>
      </c>
      <c r="B56" s="94">
        <v>242.85</v>
      </c>
      <c r="C56" s="94">
        <v>599.1</v>
      </c>
      <c r="E56" s="11"/>
      <c r="H56" s="12"/>
      <c r="J56" s="12"/>
    </row>
    <row r="57" spans="1:5" ht="12">
      <c r="A57" s="6" t="s">
        <v>19</v>
      </c>
      <c r="B57" s="94">
        <v>621.84</v>
      </c>
      <c r="C57" s="94">
        <v>621.84</v>
      </c>
      <c r="D57" s="14"/>
      <c r="E57" s="13"/>
    </row>
    <row r="58" spans="1:5" ht="12">
      <c r="A58" s="6" t="s">
        <v>20</v>
      </c>
      <c r="B58" s="94">
        <v>847.75</v>
      </c>
      <c r="C58" s="94">
        <v>895.12</v>
      </c>
      <c r="D58" s="14"/>
      <c r="E58" s="13"/>
    </row>
    <row r="59" spans="1:5" ht="12">
      <c r="A59" s="6" t="s">
        <v>21</v>
      </c>
      <c r="B59" s="94">
        <v>352.64</v>
      </c>
      <c r="C59" s="94">
        <v>367.51</v>
      </c>
      <c r="D59" s="13"/>
      <c r="E59" s="13"/>
    </row>
    <row r="60" spans="1:10" ht="12">
      <c r="A60" s="6" t="s">
        <v>22</v>
      </c>
      <c r="B60" s="94">
        <v>412.58</v>
      </c>
      <c r="C60" s="94">
        <v>436.83</v>
      </c>
      <c r="D60" s="14"/>
      <c r="E60" s="13"/>
      <c r="H60" s="12"/>
      <c r="J60" s="12"/>
    </row>
    <row r="61" spans="1:10" ht="12">
      <c r="A61" s="6" t="s">
        <v>23</v>
      </c>
      <c r="B61" s="94">
        <v>27.67</v>
      </c>
      <c r="C61" s="94">
        <v>30.98</v>
      </c>
      <c r="D61" s="14"/>
      <c r="E61" s="13"/>
      <c r="H61" s="12"/>
      <c r="J61" s="12"/>
    </row>
    <row r="62" spans="1:4" ht="12">
      <c r="A62" s="6" t="s">
        <v>24</v>
      </c>
      <c r="B62" s="94">
        <v>53.17</v>
      </c>
      <c r="C62" s="94">
        <v>58.07</v>
      </c>
      <c r="D62" s="14"/>
    </row>
    <row r="63" spans="1:4" ht="12">
      <c r="A63" s="6" t="s">
        <v>25</v>
      </c>
      <c r="B63" s="94">
        <v>1.7</v>
      </c>
      <c r="C63" s="94">
        <v>1.71</v>
      </c>
      <c r="D63" s="14"/>
    </row>
    <row r="64" spans="1:3" ht="12">
      <c r="A64" s="6"/>
      <c r="B64" s="40"/>
      <c r="C64" s="40"/>
    </row>
    <row r="65" spans="1:4" ht="12">
      <c r="A65" s="9" t="s">
        <v>26</v>
      </c>
      <c r="B65" s="40"/>
      <c r="C65" s="40"/>
      <c r="D65" s="14"/>
    </row>
    <row r="66" spans="1:5" ht="12">
      <c r="A66" s="6"/>
      <c r="B66" s="40"/>
      <c r="C66" s="40"/>
      <c r="E66" s="11"/>
    </row>
    <row r="67" spans="1:5" ht="12">
      <c r="A67" s="6" t="s">
        <v>17</v>
      </c>
      <c r="B67" s="43">
        <v>5.17</v>
      </c>
      <c r="C67" s="43">
        <v>4.42</v>
      </c>
      <c r="E67" s="11"/>
    </row>
    <row r="68" spans="1:5" ht="12">
      <c r="A68" s="6" t="s">
        <v>18</v>
      </c>
      <c r="B68" s="43">
        <v>1.06</v>
      </c>
      <c r="C68" s="43">
        <v>31.51</v>
      </c>
      <c r="E68" s="12"/>
    </row>
    <row r="69" spans="1:5" ht="12">
      <c r="A69" s="6" t="s">
        <v>19</v>
      </c>
      <c r="B69" s="43">
        <v>77.02</v>
      </c>
      <c r="C69" s="43">
        <v>77.02</v>
      </c>
      <c r="D69" s="14"/>
      <c r="E69" s="12"/>
    </row>
    <row r="70" spans="1:5" ht="12">
      <c r="A70" s="6" t="s">
        <v>20</v>
      </c>
      <c r="B70" s="96">
        <v>2.8</v>
      </c>
      <c r="C70" s="96">
        <v>2.87</v>
      </c>
      <c r="D70" s="98"/>
      <c r="E70" s="12"/>
    </row>
    <row r="71" spans="1:5" ht="12">
      <c r="A71" s="6" t="s">
        <v>21</v>
      </c>
      <c r="B71" s="43">
        <v>0</v>
      </c>
      <c r="C71" s="43">
        <v>0</v>
      </c>
      <c r="D71" s="14"/>
      <c r="E71" s="12"/>
    </row>
    <row r="72" spans="1:5" ht="12">
      <c r="A72" s="6" t="s">
        <v>22</v>
      </c>
      <c r="B72" s="43">
        <v>2.25</v>
      </c>
      <c r="C72" s="43">
        <v>2.29</v>
      </c>
      <c r="D72" s="98"/>
      <c r="E72" s="12"/>
    </row>
    <row r="73" spans="1:4" ht="12">
      <c r="A73" s="6" t="s">
        <v>23</v>
      </c>
      <c r="B73" s="43">
        <v>0.44</v>
      </c>
      <c r="C73" s="43">
        <v>0.45</v>
      </c>
      <c r="D73" s="14"/>
    </row>
    <row r="74" spans="1:4" ht="12">
      <c r="A74" s="6" t="s">
        <v>24</v>
      </c>
      <c r="B74" s="43">
        <v>0.8</v>
      </c>
      <c r="C74" s="43">
        <v>1.12</v>
      </c>
      <c r="D74" s="14"/>
    </row>
    <row r="75" spans="1:4" ht="12">
      <c r="A75" s="6" t="s">
        <v>25</v>
      </c>
      <c r="B75" s="43">
        <v>0.26</v>
      </c>
      <c r="C75" s="43">
        <v>0.19</v>
      </c>
      <c r="D75" s="99"/>
    </row>
    <row r="76" spans="1:3" ht="12.75" thickBot="1">
      <c r="A76" s="6"/>
      <c r="B76" s="43"/>
      <c r="C76" s="43"/>
    </row>
    <row r="77" spans="1:3" ht="12.75" thickBot="1">
      <c r="A77" s="3" t="s">
        <v>132</v>
      </c>
      <c r="B77" s="89">
        <v>38776</v>
      </c>
      <c r="C77" s="89">
        <v>38807</v>
      </c>
    </row>
    <row r="78" spans="1:3" ht="12">
      <c r="A78" s="6"/>
      <c r="B78" s="40"/>
      <c r="C78" s="40"/>
    </row>
    <row r="79" spans="1:3" ht="12">
      <c r="A79" s="6"/>
      <c r="B79" s="40"/>
      <c r="C79" s="40"/>
    </row>
    <row r="80" spans="1:3" ht="12">
      <c r="A80" s="6" t="s">
        <v>27</v>
      </c>
      <c r="B80" s="91">
        <v>3.7</v>
      </c>
      <c r="C80" s="91">
        <v>4.6</v>
      </c>
    </row>
    <row r="81" spans="1:3" ht="12">
      <c r="A81" s="6" t="s">
        <v>28</v>
      </c>
      <c r="B81" s="91">
        <v>1.1</v>
      </c>
      <c r="C81" s="91">
        <v>1.6</v>
      </c>
    </row>
    <row r="82" spans="1:3" ht="12.75" thickBot="1">
      <c r="A82" s="15" t="s">
        <v>29</v>
      </c>
      <c r="B82" s="101">
        <v>0.2</v>
      </c>
      <c r="C82" s="101">
        <v>0.4</v>
      </c>
    </row>
    <row r="83" ht="12">
      <c r="A83" s="2" t="s">
        <v>133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B4" sqref="A4:Q84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3:13" ht="15.75"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7" ht="15.75">
      <c r="A4" s="20"/>
      <c r="B4" s="20"/>
      <c r="C4" s="192" t="s">
        <v>152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>
      <c r="A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.75">
      <c r="A27" s="20"/>
      <c r="B27" s="21"/>
      <c r="C27" s="184" t="s">
        <v>49</v>
      </c>
      <c r="D27" s="185"/>
      <c r="E27" s="18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2" t="s">
        <v>50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20"/>
      <c r="B52" s="21"/>
      <c r="C52" s="184" t="s">
        <v>156</v>
      </c>
      <c r="D52" s="18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2" t="s">
        <v>148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20"/>
      <c r="M55" s="20"/>
      <c r="N55" s="20"/>
      <c r="O55" s="20"/>
      <c r="P55" s="20"/>
      <c r="Q55" s="20"/>
    </row>
    <row r="56" spans="1:17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/>
    </row>
    <row r="79" spans="3:6" ht="15.75">
      <c r="C79" s="184" t="s">
        <v>124</v>
      </c>
      <c r="D79" s="186"/>
      <c r="E79" s="186"/>
      <c r="F79" s="186"/>
    </row>
    <row r="84" ht="15">
      <c r="C84" s="21"/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1"/>
  <sheetViews>
    <sheetView showGridLines="0" zoomScaleSheetLayoutView="75" workbookViewId="0" topLeftCell="AB1">
      <selection activeCell="B2" sqref="B2:AN21"/>
    </sheetView>
  </sheetViews>
  <sheetFormatPr defaultColWidth="9.140625" defaultRowHeight="19.5" customHeight="1"/>
  <cols>
    <col min="1" max="1" width="4.7109375" style="41" customWidth="1"/>
    <col min="2" max="2" width="57.7109375" style="41" customWidth="1"/>
    <col min="3" max="7" width="9.8515625" style="41" hidden="1" customWidth="1"/>
    <col min="8" max="8" width="11.28125" style="41" hidden="1" customWidth="1"/>
    <col min="9" max="9" width="11.8515625" style="41" hidden="1" customWidth="1"/>
    <col min="10" max="11" width="9.8515625" style="41" hidden="1" customWidth="1"/>
    <col min="12" max="12" width="11.140625" style="41" hidden="1" customWidth="1"/>
    <col min="13" max="13" width="11.421875" style="41" hidden="1" customWidth="1"/>
    <col min="14" max="14" width="11.00390625" style="41" hidden="1" customWidth="1"/>
    <col min="15" max="15" width="10.140625" style="41" hidden="1" customWidth="1"/>
    <col min="16" max="16" width="9.8515625" style="41" hidden="1" customWidth="1"/>
    <col min="17" max="17" width="11.28125" style="41" hidden="1" customWidth="1"/>
    <col min="18" max="18" width="10.7109375" style="41" hidden="1" customWidth="1"/>
    <col min="19" max="19" width="11.00390625" style="41" hidden="1" customWidth="1"/>
    <col min="20" max="20" width="14.7109375" style="41" hidden="1" customWidth="1"/>
    <col min="21" max="21" width="2.00390625" style="41" hidden="1" customWidth="1"/>
    <col min="22" max="22" width="10.421875" style="41" hidden="1" customWidth="1"/>
    <col min="23" max="23" width="9.8515625" style="41" hidden="1" customWidth="1"/>
    <col min="24" max="24" width="9.421875" style="41" hidden="1" customWidth="1"/>
    <col min="25" max="25" width="11.28125" style="41" hidden="1" customWidth="1"/>
    <col min="26" max="26" width="18.28125" style="41" customWidth="1"/>
    <col min="27" max="27" width="10.8515625" style="41" customWidth="1"/>
    <col min="28" max="28" width="11.00390625" style="41" customWidth="1"/>
    <col min="29" max="29" width="11.7109375" style="41" customWidth="1"/>
    <col min="30" max="30" width="12.00390625" style="41" customWidth="1"/>
    <col min="31" max="31" width="11.7109375" style="41" customWidth="1"/>
    <col min="32" max="32" width="11.8515625" style="41" customWidth="1"/>
    <col min="33" max="33" width="12.140625" style="41" customWidth="1"/>
    <col min="34" max="34" width="11.421875" style="41" customWidth="1"/>
    <col min="35" max="35" width="11.140625" style="41" customWidth="1"/>
    <col min="36" max="36" width="10.8515625" style="41" customWidth="1"/>
    <col min="37" max="40" width="10.421875" style="41" customWidth="1"/>
    <col min="41" max="16384" width="9.140625" style="41" customWidth="1"/>
  </cols>
  <sheetData>
    <row r="1" ht="19.5" customHeight="1" thickBot="1"/>
    <row r="2" spans="2:40" ht="19.5" customHeight="1">
      <c r="B2" s="132" t="s">
        <v>130</v>
      </c>
      <c r="C2" s="133"/>
      <c r="D2" s="133"/>
      <c r="E2" s="133"/>
      <c r="F2" s="134"/>
      <c r="G2" s="135"/>
      <c r="H2" s="134"/>
      <c r="I2" s="135"/>
      <c r="J2" s="135"/>
      <c r="K2" s="134"/>
      <c r="L2" s="134"/>
      <c r="M2" s="136"/>
      <c r="N2" s="135"/>
      <c r="O2" s="137"/>
      <c r="P2" s="135"/>
      <c r="Q2" s="134"/>
      <c r="R2" s="135"/>
      <c r="S2" s="135"/>
      <c r="T2" s="138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9.5" customHeight="1">
      <c r="B3" s="139"/>
      <c r="C3" s="139"/>
      <c r="D3" s="139"/>
      <c r="E3" s="139"/>
      <c r="F3" s="140"/>
      <c r="G3" s="140"/>
      <c r="H3" s="140"/>
      <c r="I3" s="141"/>
      <c r="J3" s="141"/>
      <c r="K3" s="140"/>
      <c r="L3" s="140"/>
      <c r="M3" s="142"/>
      <c r="N3" s="141"/>
      <c r="O3" s="143"/>
      <c r="P3" s="141"/>
      <c r="Q3" s="140"/>
      <c r="R3" s="141"/>
      <c r="S3" s="141"/>
      <c r="T3" s="144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2:40" ht="19.5" customHeight="1">
      <c r="B4" s="145"/>
      <c r="C4" s="146">
        <v>37655</v>
      </c>
      <c r="D4" s="146">
        <v>37681</v>
      </c>
      <c r="E4" s="146">
        <v>37712</v>
      </c>
      <c r="F4" s="146">
        <v>37742</v>
      </c>
      <c r="G4" s="146">
        <v>37773</v>
      </c>
      <c r="H4" s="146">
        <v>37803</v>
      </c>
      <c r="I4" s="146">
        <v>37834</v>
      </c>
      <c r="J4" s="146">
        <v>37865</v>
      </c>
      <c r="K4" s="146">
        <v>37895</v>
      </c>
      <c r="L4" s="146">
        <v>37926</v>
      </c>
      <c r="M4" s="146">
        <v>37956</v>
      </c>
      <c r="N4" s="146">
        <v>37987</v>
      </c>
      <c r="O4" s="147">
        <v>38018</v>
      </c>
      <c r="P4" s="146">
        <v>38047</v>
      </c>
      <c r="Q4" s="146">
        <v>38078</v>
      </c>
      <c r="R4" s="146">
        <v>38108</v>
      </c>
      <c r="S4" s="146">
        <v>38139</v>
      </c>
      <c r="T4" s="146">
        <v>38169</v>
      </c>
      <c r="U4" s="146">
        <v>38200</v>
      </c>
      <c r="V4" s="146">
        <v>38231</v>
      </c>
      <c r="W4" s="146">
        <v>38261</v>
      </c>
      <c r="X4" s="146">
        <v>38292</v>
      </c>
      <c r="Y4" s="146">
        <v>38322</v>
      </c>
      <c r="Z4" s="146">
        <v>38353</v>
      </c>
      <c r="AA4" s="146">
        <v>38384</v>
      </c>
      <c r="AB4" s="146">
        <v>38412</v>
      </c>
      <c r="AC4" s="146">
        <v>38443</v>
      </c>
      <c r="AD4" s="146">
        <v>38473</v>
      </c>
      <c r="AE4" s="146">
        <v>38504</v>
      </c>
      <c r="AF4" s="146">
        <v>38534</v>
      </c>
      <c r="AG4" s="146">
        <v>38565</v>
      </c>
      <c r="AH4" s="146">
        <v>38596</v>
      </c>
      <c r="AI4" s="146">
        <v>38626</v>
      </c>
      <c r="AJ4" s="146">
        <v>38657</v>
      </c>
      <c r="AK4" s="146">
        <v>38687</v>
      </c>
      <c r="AL4" s="146">
        <v>38718</v>
      </c>
      <c r="AM4" s="146">
        <v>38749</v>
      </c>
      <c r="AN4" s="146">
        <v>38777</v>
      </c>
    </row>
    <row r="5" spans="1:40" ht="19.5" customHeight="1">
      <c r="A5" s="182"/>
      <c r="B5" s="148" t="s">
        <v>151</v>
      </c>
      <c r="C5" s="149"/>
      <c r="D5" s="149"/>
      <c r="E5" s="150"/>
      <c r="F5" s="151"/>
      <c r="G5" s="151"/>
      <c r="H5" s="151"/>
      <c r="I5" s="151"/>
      <c r="J5" s="151"/>
      <c r="K5" s="151"/>
      <c r="L5" s="151"/>
      <c r="M5" s="152"/>
      <c r="N5" s="151"/>
      <c r="O5" s="153"/>
      <c r="P5" s="154"/>
      <c r="Q5" s="151"/>
      <c r="R5" s="154"/>
      <c r="S5" s="154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</row>
    <row r="6" spans="1:40" ht="19.5" customHeight="1">
      <c r="A6" s="183"/>
      <c r="B6" s="148"/>
      <c r="C6" s="149"/>
      <c r="D6" s="149"/>
      <c r="E6" s="150"/>
      <c r="F6" s="151"/>
      <c r="G6" s="151"/>
      <c r="H6" s="151"/>
      <c r="I6" s="151"/>
      <c r="J6" s="151"/>
      <c r="K6" s="151"/>
      <c r="L6" s="151"/>
      <c r="M6" s="152"/>
      <c r="N6" s="151"/>
      <c r="O6" s="153"/>
      <c r="P6" s="154"/>
      <c r="Q6" s="151"/>
      <c r="R6" s="154"/>
      <c r="S6" s="154"/>
      <c r="T6" s="155"/>
      <c r="U6" s="154"/>
      <c r="V6" s="154"/>
      <c r="W6" s="154"/>
      <c r="X6" s="154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</row>
    <row r="7" spans="2:40" ht="19.5" customHeight="1">
      <c r="B7" s="148" t="s">
        <v>30</v>
      </c>
      <c r="C7" s="156">
        <v>2595.44027685</v>
      </c>
      <c r="D7" s="156">
        <v>2187.8368766900003</v>
      </c>
      <c r="E7" s="156">
        <v>2272.4872471500003</v>
      </c>
      <c r="F7" s="157">
        <v>2113.36340838</v>
      </c>
      <c r="G7" s="157">
        <v>2165.8</v>
      </c>
      <c r="H7" s="158">
        <v>2129.6</v>
      </c>
      <c r="I7" s="151">
        <v>1891</v>
      </c>
      <c r="J7" s="157">
        <v>2181.2</v>
      </c>
      <c r="K7" s="157">
        <v>2467.9</v>
      </c>
      <c r="L7" s="157">
        <v>2091</v>
      </c>
      <c r="M7" s="159">
        <v>2110.3</v>
      </c>
      <c r="N7" s="157">
        <v>2710.8702829799995</v>
      </c>
      <c r="O7" s="160">
        <v>1935.4129830699999</v>
      </c>
      <c r="P7" s="161">
        <v>1824.1042653499997</v>
      </c>
      <c r="Q7" s="151">
        <v>2395.6</v>
      </c>
      <c r="R7" s="151">
        <v>1860.4</v>
      </c>
      <c r="S7" s="151">
        <v>1783.2</v>
      </c>
      <c r="T7" s="151">
        <v>1984.6</v>
      </c>
      <c r="U7" s="151">
        <v>1989.9</v>
      </c>
      <c r="V7" s="151">
        <v>1808.2</v>
      </c>
      <c r="W7" s="151">
        <v>2207.6</v>
      </c>
      <c r="X7" s="151">
        <v>1987.9</v>
      </c>
      <c r="Y7" s="151">
        <v>1977.3</v>
      </c>
      <c r="Z7" s="151">
        <v>2327.5</v>
      </c>
      <c r="AA7" s="151">
        <v>2029.5</v>
      </c>
      <c r="AB7" s="151">
        <v>1912.6</v>
      </c>
      <c r="AC7" s="151">
        <v>2303.8</v>
      </c>
      <c r="AD7" s="151">
        <v>2107.1</v>
      </c>
      <c r="AE7" s="151">
        <v>1874.1</v>
      </c>
      <c r="AF7" s="151">
        <v>2354.7</v>
      </c>
      <c r="AG7" s="151">
        <v>2159.1</v>
      </c>
      <c r="AH7" s="151">
        <v>1818.2</v>
      </c>
      <c r="AI7" s="157">
        <v>2245</v>
      </c>
      <c r="AJ7" s="157">
        <v>1902.22246</v>
      </c>
      <c r="AK7" s="157">
        <v>1983.9</v>
      </c>
      <c r="AL7" s="157">
        <v>2705.5</v>
      </c>
      <c r="AM7" s="157">
        <v>2696</v>
      </c>
      <c r="AN7" s="157">
        <v>2458.1</v>
      </c>
    </row>
    <row r="8" spans="2:40" ht="19.5" customHeight="1">
      <c r="B8" s="148" t="s">
        <v>31</v>
      </c>
      <c r="C8" s="162"/>
      <c r="D8" s="162">
        <f>D7-C7</f>
        <v>-407.60340015999964</v>
      </c>
      <c r="E8" s="162">
        <f>E7-D7</f>
        <v>84.65037045999998</v>
      </c>
      <c r="F8" s="162">
        <f>F7-E7</f>
        <v>-159.12383877000048</v>
      </c>
      <c r="G8" s="162">
        <f aca="true" t="shared" si="0" ref="G8:AG8">G7-F7</f>
        <v>52.4365916200004</v>
      </c>
      <c r="H8" s="162">
        <f t="shared" si="0"/>
        <v>-36.20000000000027</v>
      </c>
      <c r="I8" s="162">
        <f t="shared" si="0"/>
        <v>-238.5999999999999</v>
      </c>
      <c r="J8" s="162">
        <f t="shared" si="0"/>
        <v>290.1999999999998</v>
      </c>
      <c r="K8" s="162">
        <f t="shared" si="0"/>
        <v>286.7000000000003</v>
      </c>
      <c r="L8" s="162">
        <f t="shared" si="0"/>
        <v>-376.9000000000001</v>
      </c>
      <c r="M8" s="162">
        <f t="shared" si="0"/>
        <v>19.300000000000182</v>
      </c>
      <c r="N8" s="162">
        <f t="shared" si="0"/>
        <v>600.5702829799993</v>
      </c>
      <c r="O8" s="163">
        <f t="shared" si="0"/>
        <v>-775.4572999099996</v>
      </c>
      <c r="P8" s="158">
        <f t="shared" si="0"/>
        <v>-111.30871772000023</v>
      </c>
      <c r="Q8" s="158">
        <f t="shared" si="0"/>
        <v>571.4957346500003</v>
      </c>
      <c r="R8" s="158">
        <f t="shared" si="0"/>
        <v>-535.1999999999998</v>
      </c>
      <c r="S8" s="158">
        <f t="shared" si="0"/>
        <v>-77.20000000000005</v>
      </c>
      <c r="T8" s="158">
        <f t="shared" si="0"/>
        <v>201.39999999999986</v>
      </c>
      <c r="U8" s="158">
        <f t="shared" si="0"/>
        <v>5.300000000000182</v>
      </c>
      <c r="V8" s="158">
        <f t="shared" si="0"/>
        <v>-181.70000000000005</v>
      </c>
      <c r="W8" s="158">
        <f t="shared" si="0"/>
        <v>399.39999999999986</v>
      </c>
      <c r="X8" s="158">
        <f t="shared" si="0"/>
        <v>-219.69999999999982</v>
      </c>
      <c r="Y8" s="158">
        <f t="shared" si="0"/>
        <v>-10.600000000000136</v>
      </c>
      <c r="Z8" s="158">
        <f t="shared" si="0"/>
        <v>350.20000000000005</v>
      </c>
      <c r="AA8" s="158">
        <f t="shared" si="0"/>
        <v>-298</v>
      </c>
      <c r="AB8" s="158">
        <f t="shared" si="0"/>
        <v>-116.90000000000009</v>
      </c>
      <c r="AC8" s="158">
        <f t="shared" si="0"/>
        <v>391.2000000000003</v>
      </c>
      <c r="AD8" s="158">
        <f t="shared" si="0"/>
        <v>-196.70000000000027</v>
      </c>
      <c r="AE8" s="158">
        <f t="shared" si="0"/>
        <v>-233</v>
      </c>
      <c r="AF8" s="158">
        <f t="shared" si="0"/>
        <v>480.5999999999999</v>
      </c>
      <c r="AG8" s="158">
        <f t="shared" si="0"/>
        <v>-195.5999999999999</v>
      </c>
      <c r="AH8" s="158">
        <f aca="true" t="shared" si="1" ref="AH8:AN8">AH7-AG7</f>
        <v>-340.89999999999986</v>
      </c>
      <c r="AI8" s="158">
        <f t="shared" si="1"/>
        <v>426.79999999999995</v>
      </c>
      <c r="AJ8" s="158">
        <f t="shared" si="1"/>
        <v>-342.77754000000004</v>
      </c>
      <c r="AK8" s="158">
        <f t="shared" si="1"/>
        <v>81.67754000000014</v>
      </c>
      <c r="AL8" s="158">
        <f t="shared" si="1"/>
        <v>721.5999999999999</v>
      </c>
      <c r="AM8" s="158">
        <f t="shared" si="1"/>
        <v>-9.5</v>
      </c>
      <c r="AN8" s="158">
        <f t="shared" si="1"/>
        <v>-237.9000000000001</v>
      </c>
    </row>
    <row r="9" spans="2:40" ht="19.5" customHeight="1">
      <c r="B9" s="148"/>
      <c r="C9" s="149"/>
      <c r="D9" s="149"/>
      <c r="E9" s="149"/>
      <c r="F9" s="151"/>
      <c r="G9" s="151"/>
      <c r="H9" s="151"/>
      <c r="I9" s="151"/>
      <c r="J9" s="151"/>
      <c r="K9" s="151"/>
      <c r="L9" s="151"/>
      <c r="M9" s="152"/>
      <c r="N9" s="151"/>
      <c r="O9" s="153"/>
      <c r="P9" s="154"/>
      <c r="Q9" s="151"/>
      <c r="R9" s="154"/>
      <c r="S9" s="154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2:40" ht="19.5" customHeight="1">
      <c r="B10" s="148" t="s">
        <v>45</v>
      </c>
      <c r="C10" s="149"/>
      <c r="D10" s="149"/>
      <c r="E10" s="149"/>
      <c r="F10" s="151"/>
      <c r="G10" s="151"/>
      <c r="H10" s="151"/>
      <c r="I10" s="151"/>
      <c r="J10" s="151"/>
      <c r="K10" s="151"/>
      <c r="L10" s="151"/>
      <c r="M10" s="152"/>
      <c r="N10" s="151"/>
      <c r="O10" s="153"/>
      <c r="P10" s="154"/>
      <c r="Q10" s="151"/>
      <c r="R10" s="154"/>
      <c r="S10" s="154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2:40" ht="19.5" customHeight="1">
      <c r="B11" s="148"/>
      <c r="C11" s="149"/>
      <c r="D11" s="149"/>
      <c r="E11" s="149"/>
      <c r="F11" s="151"/>
      <c r="G11" s="151"/>
      <c r="H11" s="151"/>
      <c r="I11" s="151"/>
      <c r="J11" s="151"/>
      <c r="K11" s="151"/>
      <c r="L11" s="151"/>
      <c r="M11" s="152"/>
      <c r="N11" s="151"/>
      <c r="O11" s="153"/>
      <c r="P11" s="154"/>
      <c r="Q11" s="151"/>
      <c r="R11" s="154"/>
      <c r="S11" s="154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2:40" ht="19.5" customHeight="1">
      <c r="B12" s="148" t="s">
        <v>32</v>
      </c>
      <c r="C12" s="149"/>
      <c r="D12" s="149">
        <v>8.0439</v>
      </c>
      <c r="E12" s="149">
        <v>7.7068</v>
      </c>
      <c r="F12" s="164">
        <v>7.6652</v>
      </c>
      <c r="G12" s="164">
        <v>7.9027</v>
      </c>
      <c r="H12" s="164">
        <v>7.5401</v>
      </c>
      <c r="I12" s="151">
        <v>7.3922</v>
      </c>
      <c r="J12" s="151">
        <v>7.3246</v>
      </c>
      <c r="K12" s="151">
        <v>6.9637</v>
      </c>
      <c r="L12" s="151">
        <v>6.7287</v>
      </c>
      <c r="M12" s="152">
        <v>6.5159</v>
      </c>
      <c r="N12" s="151">
        <v>6.9179</v>
      </c>
      <c r="O12" s="152">
        <v>6.7686</v>
      </c>
      <c r="P12" s="151">
        <v>6.6633</v>
      </c>
      <c r="Q12" s="151">
        <v>6.5537</v>
      </c>
      <c r="R12" s="151">
        <v>6.7821</v>
      </c>
      <c r="S12" s="151">
        <v>6.4381</v>
      </c>
      <c r="T12" s="165">
        <v>6.1287</v>
      </c>
      <c r="U12" s="151">
        <v>6.4575</v>
      </c>
      <c r="V12" s="151">
        <v>6.5469</v>
      </c>
      <c r="W12" s="151">
        <v>6.3876</v>
      </c>
      <c r="X12" s="151">
        <v>6.0558</v>
      </c>
      <c r="Y12" s="151">
        <v>5.7323</v>
      </c>
      <c r="Z12" s="151">
        <v>5.9698</v>
      </c>
      <c r="AA12" s="151">
        <v>6.0161</v>
      </c>
      <c r="AB12" s="151">
        <v>6.323</v>
      </c>
      <c r="AC12" s="151">
        <v>6.1521</v>
      </c>
      <c r="AD12" s="151">
        <v>6.3314</v>
      </c>
      <c r="AE12" s="165">
        <v>6.75</v>
      </c>
      <c r="AF12" s="165">
        <v>6.7035</v>
      </c>
      <c r="AG12" s="165">
        <v>6.465</v>
      </c>
      <c r="AH12" s="165">
        <v>6.3578</v>
      </c>
      <c r="AI12" s="165">
        <v>6.5766</v>
      </c>
      <c r="AJ12" s="165">
        <v>6.521</v>
      </c>
      <c r="AK12" s="165">
        <v>6.3591</v>
      </c>
      <c r="AL12" s="165">
        <v>6.0891</v>
      </c>
      <c r="AM12" s="165">
        <v>6.1177</v>
      </c>
      <c r="AN12" s="165">
        <v>6.2544</v>
      </c>
    </row>
    <row r="13" spans="2:40" ht="19.5" customHeight="1">
      <c r="B13" s="148" t="s">
        <v>33</v>
      </c>
      <c r="C13" s="166"/>
      <c r="D13" s="166">
        <f>1/8.0439</f>
        <v>0.124317806039359</v>
      </c>
      <c r="E13" s="166">
        <f>1/7.7068</f>
        <v>0.12975554056158198</v>
      </c>
      <c r="F13" s="167">
        <f>1/7.6652</f>
        <v>0.13045974012419767</v>
      </c>
      <c r="G13" s="167">
        <f>1/7.9027</f>
        <v>0.12653903096410088</v>
      </c>
      <c r="H13" s="167">
        <f>1/7.5401</f>
        <v>0.1326242357528415</v>
      </c>
      <c r="I13" s="167">
        <f>1/7.3922</f>
        <v>0.13527772516977354</v>
      </c>
      <c r="J13" s="167">
        <f>1/7.3246</f>
        <v>0.1365262266881468</v>
      </c>
      <c r="K13" s="167">
        <f>1/6.9637</f>
        <v>0.14360182087108864</v>
      </c>
      <c r="L13" s="167">
        <f>1/6.7287</f>
        <v>0.14861711771961894</v>
      </c>
      <c r="M13" s="167">
        <f>1/6.5159</f>
        <v>0.15347074080326586</v>
      </c>
      <c r="N13" s="167">
        <f>1/6.9179</f>
        <v>0.14455253761979792</v>
      </c>
      <c r="O13" s="168">
        <f>1/6.7686</f>
        <v>0.14774103950595396</v>
      </c>
      <c r="P13" s="167">
        <f>1/6.6633</f>
        <v>0.1500757882730779</v>
      </c>
      <c r="Q13" s="167">
        <f>1/6.5537</f>
        <v>0.15258556235409004</v>
      </c>
      <c r="R13" s="167">
        <f>1/6.7821</f>
        <v>0.14744695595759427</v>
      </c>
      <c r="S13" s="167">
        <f>1/6.4381</f>
        <v>0.15532532890138395</v>
      </c>
      <c r="T13" s="167">
        <f>1/6.1287</f>
        <v>0.1631667400916997</v>
      </c>
      <c r="U13" s="167">
        <f>1/6.4575</f>
        <v>0.1548586914440573</v>
      </c>
      <c r="V13" s="167">
        <f>1/6.5469</f>
        <v>0.15274404680077594</v>
      </c>
      <c r="W13" s="167">
        <f>1/6.3876</f>
        <v>0.15655332206149414</v>
      </c>
      <c r="X13" s="167">
        <f>1/6.0558</f>
        <v>0.16513094884243207</v>
      </c>
      <c r="Y13" s="167">
        <f>1/5.7323</f>
        <v>0.17445004622926225</v>
      </c>
      <c r="Z13" s="167">
        <f>1/5.9698</f>
        <v>0.1675097993232604</v>
      </c>
      <c r="AA13" s="167">
        <f>1/6.0161</f>
        <v>0.16622064127923405</v>
      </c>
      <c r="AB13" s="167">
        <f>1/6.0101</f>
        <v>0.16638658258598024</v>
      </c>
      <c r="AC13" s="167">
        <f>1/6.1521</f>
        <v>0.16254612246224867</v>
      </c>
      <c r="AD13" s="167">
        <f>1/6.3314</f>
        <v>0.1579429510060966</v>
      </c>
      <c r="AE13" s="167">
        <f>1/6.75</f>
        <v>0.14814814814814814</v>
      </c>
      <c r="AF13" s="167">
        <f>1/6.7035</f>
        <v>0.14917580368464234</v>
      </c>
      <c r="AG13" s="167">
        <f>1/6.465</f>
        <v>0.15467904098994587</v>
      </c>
      <c r="AH13" s="167">
        <f>1/6.3578</f>
        <v>0.1572871118940514</v>
      </c>
      <c r="AI13" s="167">
        <f>1/6.5766</f>
        <v>0.15205425295745523</v>
      </c>
      <c r="AJ13" s="167">
        <f>1/6.521</f>
        <v>0.15335071308081583</v>
      </c>
      <c r="AK13" s="167">
        <f>1/6.3591</f>
        <v>0.157254957462534</v>
      </c>
      <c r="AL13" s="167">
        <f>1/6.0891</f>
        <v>0.1642278826099095</v>
      </c>
      <c r="AM13" s="167">
        <f>1/6.1177</f>
        <v>0.16346012390277392</v>
      </c>
      <c r="AN13" s="167">
        <f>1/6.2544</f>
        <v>0.15988743924277307</v>
      </c>
    </row>
    <row r="14" spans="2:40" ht="19.5" customHeight="1">
      <c r="B14" s="148" t="s">
        <v>34</v>
      </c>
      <c r="C14" s="149"/>
      <c r="D14" s="149"/>
      <c r="E14" s="149"/>
      <c r="F14" s="164"/>
      <c r="G14" s="164"/>
      <c r="H14" s="164"/>
      <c r="I14" s="151"/>
      <c r="J14" s="151"/>
      <c r="K14" s="151"/>
      <c r="L14" s="151"/>
      <c r="M14" s="152"/>
      <c r="N14" s="151"/>
      <c r="O14" s="153"/>
      <c r="P14" s="154"/>
      <c r="Q14" s="151"/>
      <c r="R14" s="154"/>
      <c r="S14" s="154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</row>
    <row r="15" spans="2:40" ht="19.5" customHeight="1">
      <c r="B15" s="148" t="s">
        <v>35</v>
      </c>
      <c r="C15" s="166"/>
      <c r="D15" s="166">
        <f>1/12.7437</f>
        <v>0.07847014603294176</v>
      </c>
      <c r="E15" s="166">
        <f>1/12.124</f>
        <v>0.08248102936324644</v>
      </c>
      <c r="F15" s="167">
        <f>1/12.4393</f>
        <v>0.08039037566422548</v>
      </c>
      <c r="G15" s="167">
        <f>1/13.1219</f>
        <v>0.07620847590669035</v>
      </c>
      <c r="H15" s="167">
        <f>1/12.26</f>
        <v>0.08156606851549755</v>
      </c>
      <c r="I15" s="167">
        <f>1/11.7868</f>
        <v>0.08484066922319884</v>
      </c>
      <c r="J15" s="167">
        <f>1/11.702</f>
        <v>0.08545547769612032</v>
      </c>
      <c r="K15" s="167">
        <f>1/11.6744</f>
        <v>0.08565750702391557</v>
      </c>
      <c r="L15" s="167">
        <f>1/11.3692</f>
        <v>0.08795693628399535</v>
      </c>
      <c r="M15" s="167">
        <f>1/11.3073</f>
        <v>0.08843844242215207</v>
      </c>
      <c r="N15" s="167">
        <f>1/12.5935</f>
        <v>0.07940604279985707</v>
      </c>
      <c r="O15" s="168">
        <f>1/12.6411</f>
        <v>0.07910703973546607</v>
      </c>
      <c r="P15" s="167">
        <f>1/12.1204</f>
        <v>0.08250552787036732</v>
      </c>
      <c r="Q15" s="167">
        <f>1/11.8224</f>
        <v>0.08458519420760591</v>
      </c>
      <c r="R15" s="167">
        <f>1/12.1262</f>
        <v>0.08246606521416437</v>
      </c>
      <c r="S15" s="167">
        <f>1/11.7619</f>
        <v>0.08502027733614466</v>
      </c>
      <c r="T15" s="167">
        <f>1/11.2923</f>
        <v>0.08855591863482197</v>
      </c>
      <c r="U15" s="167">
        <f>1/11.7446</f>
        <v>0.08514551368288405</v>
      </c>
      <c r="V15" s="167">
        <f>1/11.736</f>
        <v>0.08520790729379686</v>
      </c>
      <c r="W15" s="167">
        <f>1/11.5461</f>
        <v>0.08660933128935312</v>
      </c>
      <c r="X15" s="167">
        <f>1/11.2483</f>
        <v>0.08890232301770044</v>
      </c>
      <c r="Y15" s="167">
        <f>1/11.601</f>
        <v>0.0861994655633135</v>
      </c>
      <c r="Z15" s="167">
        <f>1/11.2168</f>
        <v>0.08915198630625491</v>
      </c>
      <c r="AA15" s="167">
        <f>1/11.3535</f>
        <v>0.08807856608094419</v>
      </c>
      <c r="AB15" s="167">
        <f>1/11.8847</f>
        <v>0.08414179575420498</v>
      </c>
      <c r="AC15" s="167">
        <f>1/11.6567</f>
        <v>0.08578757281220242</v>
      </c>
      <c r="AD15" s="167">
        <f>1/11.7446</f>
        <v>0.08514551368288405</v>
      </c>
      <c r="AE15" s="167">
        <f>1/12.282</f>
        <v>0.08141996417521576</v>
      </c>
      <c r="AF15" s="167">
        <f>1/11.7407</f>
        <v>0.08517379713304998</v>
      </c>
      <c r="AG15" s="167">
        <f>1/11.5992</f>
        <v>0.0862128422649838</v>
      </c>
      <c r="AH15" s="167">
        <f>1/11.4978</f>
        <v>0.08697316008279846</v>
      </c>
      <c r="AI15" s="167">
        <f>1/11.5989</f>
        <v>0.08621507211890782</v>
      </c>
      <c r="AJ15" s="167">
        <f>1/11.2213</f>
        <v>0.08911623430440324</v>
      </c>
      <c r="AK15" s="167">
        <f>1/11.1059</f>
        <v>0.0900422298057789</v>
      </c>
      <c r="AL15" s="167">
        <f>1/10.7529</f>
        <v>0.09299816793609166</v>
      </c>
      <c r="AM15" s="167">
        <f>1/10.6948</f>
        <v>0.09350338482253057</v>
      </c>
      <c r="AN15" s="167">
        <f>1/10.907</f>
        <v>0.09168423947923351</v>
      </c>
    </row>
    <row r="16" spans="2:40" ht="19.5" customHeight="1">
      <c r="B16" s="148" t="s">
        <v>36</v>
      </c>
      <c r="C16" s="166"/>
      <c r="D16" s="166">
        <f>1/0.0679</f>
        <v>14.727540500736376</v>
      </c>
      <c r="E16" s="166">
        <f>1/0.0642</f>
        <v>15.576323987538942</v>
      </c>
      <c r="F16" s="167">
        <f>1/0.0654</f>
        <v>15.290519877675841</v>
      </c>
      <c r="G16" s="167">
        <f>1/0.0668</f>
        <v>14.970059880239521</v>
      </c>
      <c r="H16" s="167">
        <f>1/0.0636</f>
        <v>15.723270440251572</v>
      </c>
      <c r="I16" s="167">
        <f>1/0.0622</f>
        <v>16.077170418006432</v>
      </c>
      <c r="J16" s="167">
        <f>1/0.0636</f>
        <v>15.723270440251572</v>
      </c>
      <c r="K16" s="167">
        <f>1/0.0636</f>
        <v>15.723270440251572</v>
      </c>
      <c r="L16" s="167">
        <f>1/0.0616</f>
        <v>16.233766233766232</v>
      </c>
      <c r="M16" s="167">
        <f>1/0.0604</f>
        <v>16.556291390728475</v>
      </c>
      <c r="N16" s="167">
        <f>1/0.065</f>
        <v>15.384615384615383</v>
      </c>
      <c r="O16" s="168">
        <f>1/0.0695</f>
        <v>14.388489208633093</v>
      </c>
      <c r="P16" s="167">
        <f>1/0.0611</f>
        <v>16.366612111292962</v>
      </c>
      <c r="Q16" s="167">
        <f>1/0.061</f>
        <v>16.39344262295082</v>
      </c>
      <c r="R16" s="167">
        <f>1/0.0606</f>
        <v>16.5016501650165</v>
      </c>
      <c r="S16" s="167">
        <f>1/0.0588</f>
        <v>17.006802721088437</v>
      </c>
      <c r="T16" s="167">
        <f>1/0.0561</f>
        <v>17.825311942959004</v>
      </c>
      <c r="U16" s="167">
        <f>1/0.0505</f>
        <v>19.801980198019802</v>
      </c>
      <c r="V16" s="167">
        <f>1/0.0595</f>
        <v>16.80672268907563</v>
      </c>
      <c r="W16" s="167">
        <f>1/0.0587</f>
        <v>17.035775127768314</v>
      </c>
      <c r="X16" s="167">
        <f>1/0.0578</f>
        <v>17.301038062283737</v>
      </c>
      <c r="Y16" s="167">
        <f>1/0.052</f>
        <v>19.23076923076923</v>
      </c>
      <c r="Z16" s="167">
        <f>1/0.0578</f>
        <v>17.301038062283737</v>
      </c>
      <c r="AA16" s="167">
        <f>1/0.0574</f>
        <v>17.421602787456447</v>
      </c>
      <c r="AB16" s="167">
        <f>1/0.0572</f>
        <v>17.482517482517483</v>
      </c>
      <c r="AC16" s="167">
        <f>1/0.0572</f>
        <v>17.482517482517483</v>
      </c>
      <c r="AD16" s="167">
        <f>1/0.0594</f>
        <v>16.835016835016834</v>
      </c>
      <c r="AE16" s="167">
        <f>1/0.0621</f>
        <v>16.10305958132045</v>
      </c>
      <c r="AF16" s="167">
        <f>1/0.0599</f>
        <v>16.69449081803005</v>
      </c>
      <c r="AG16" s="167">
        <f>1/0.0585</f>
        <v>17.094017094017094</v>
      </c>
      <c r="AH16" s="167">
        <f>1/0.0573</f>
        <v>17.452006980802793</v>
      </c>
      <c r="AI16" s="167">
        <f>1/0.0573</f>
        <v>17.452006980802793</v>
      </c>
      <c r="AJ16" s="167">
        <f>1/0.0545</f>
        <v>18.34862385321101</v>
      </c>
      <c r="AK16" s="167">
        <f>1/0.0536</f>
        <v>18.65671641791045</v>
      </c>
      <c r="AL16" s="167">
        <f>1/0.0528</f>
        <v>18.93939393939394</v>
      </c>
      <c r="AM16" s="167">
        <f>1/0.0519</f>
        <v>19.267822736030826</v>
      </c>
      <c r="AN16" s="167">
        <f>1/0.0533</f>
        <v>18.76172607879925</v>
      </c>
    </row>
    <row r="17" spans="2:40" ht="19.5" customHeight="1">
      <c r="B17" s="148" t="s">
        <v>37</v>
      </c>
      <c r="C17" s="169"/>
      <c r="D17" s="169"/>
      <c r="E17" s="169"/>
      <c r="F17" s="151"/>
      <c r="G17" s="151"/>
      <c r="H17" s="151"/>
      <c r="I17" s="151"/>
      <c r="J17" s="151"/>
      <c r="K17" s="151"/>
      <c r="L17" s="151"/>
      <c r="M17" s="151"/>
      <c r="N17" s="151"/>
      <c r="O17" s="153"/>
      <c r="P17" s="154"/>
      <c r="Q17" s="151"/>
      <c r="R17" s="154"/>
      <c r="S17" s="154"/>
      <c r="T17" s="154"/>
      <c r="U17" s="154"/>
      <c r="V17" s="154"/>
      <c r="W17" s="154"/>
      <c r="X17" s="154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2:40" ht="19.5" customHeight="1">
      <c r="B18" s="139"/>
      <c r="C18" s="170"/>
      <c r="D18" s="170"/>
      <c r="E18" s="171"/>
      <c r="F18" s="140"/>
      <c r="G18" s="140"/>
      <c r="H18" s="140"/>
      <c r="I18" s="172"/>
      <c r="J18" s="172"/>
      <c r="K18" s="140"/>
      <c r="L18" s="140"/>
      <c r="M18" s="143"/>
      <c r="N18" s="172"/>
      <c r="O18" s="143"/>
      <c r="P18" s="141"/>
      <c r="Q18" s="140"/>
      <c r="R18" s="141"/>
      <c r="S18" s="141"/>
      <c r="T18" s="144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</row>
    <row r="19" spans="2:40" ht="19.5" customHeight="1">
      <c r="B19" s="139"/>
      <c r="C19" s="170"/>
      <c r="D19" s="170"/>
      <c r="E19" s="139"/>
      <c r="F19" s="140"/>
      <c r="G19" s="140"/>
      <c r="H19" s="140"/>
      <c r="I19" s="141"/>
      <c r="J19" s="141"/>
      <c r="K19" s="140"/>
      <c r="L19" s="140"/>
      <c r="M19" s="142"/>
      <c r="N19" s="141"/>
      <c r="O19" s="143"/>
      <c r="P19" s="141"/>
      <c r="Q19" s="140"/>
      <c r="R19" s="141"/>
      <c r="S19" s="141"/>
      <c r="T19" s="144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</row>
    <row r="20" spans="2:40" ht="19.5" customHeight="1">
      <c r="B20" s="173" t="s">
        <v>39</v>
      </c>
      <c r="C20" s="170"/>
      <c r="D20" s="170"/>
      <c r="E20" s="139"/>
      <c r="F20" s="140"/>
      <c r="G20" s="140"/>
      <c r="H20" s="140"/>
      <c r="I20" s="141"/>
      <c r="J20" s="141"/>
      <c r="K20" s="140"/>
      <c r="L20" s="140"/>
      <c r="M20" s="142"/>
      <c r="N20" s="141"/>
      <c r="O20" s="143"/>
      <c r="P20" s="141"/>
      <c r="Q20" s="140"/>
      <c r="R20" s="141"/>
      <c r="S20" s="141"/>
      <c r="T20" s="144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</row>
    <row r="21" spans="2:40" ht="19.5" customHeight="1" thickBot="1">
      <c r="B21" s="174" t="s">
        <v>38</v>
      </c>
      <c r="C21" s="175"/>
      <c r="D21" s="175"/>
      <c r="E21" s="176"/>
      <c r="F21" s="177"/>
      <c r="G21" s="177"/>
      <c r="H21" s="177"/>
      <c r="I21" s="178"/>
      <c r="J21" s="178"/>
      <c r="K21" s="177"/>
      <c r="L21" s="177"/>
      <c r="M21" s="179"/>
      <c r="N21" s="178"/>
      <c r="O21" s="180"/>
      <c r="P21" s="178"/>
      <c r="Q21" s="177"/>
      <c r="R21" s="178"/>
      <c r="S21" s="178"/>
      <c r="T21" s="181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A1">
      <selection activeCell="A4" sqref="A4:P68"/>
    </sheetView>
  </sheetViews>
  <sheetFormatPr defaultColWidth="9.140625" defaultRowHeight="12"/>
  <cols>
    <col min="11" max="11" width="8.7109375" style="0" customWidth="1"/>
  </cols>
  <sheetData>
    <row r="2" spans="1:15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5.75">
      <c r="A4" s="196" t="s">
        <v>112</v>
      </c>
      <c r="B4" s="196"/>
      <c r="C4" s="196"/>
      <c r="D4" s="196"/>
      <c r="E4" s="196"/>
      <c r="F4" s="196"/>
      <c r="G4" s="196"/>
      <c r="H4" s="196"/>
      <c r="I4" s="196"/>
      <c r="J4" s="196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196" t="s">
        <v>111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94"/>
  <sheetViews>
    <sheetView tabSelected="1" workbookViewId="0" topLeftCell="A64">
      <selection activeCell="B70" sqref="B70:F96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7" t="s">
        <v>99</v>
      </c>
      <c r="C2" s="197"/>
      <c r="D2" s="197"/>
      <c r="E2" s="197"/>
      <c r="F2" s="197"/>
    </row>
    <row r="3" spans="2:6" ht="11.25">
      <c r="B3" s="198" t="s">
        <v>109</v>
      </c>
      <c r="C3" s="198"/>
      <c r="D3" s="198"/>
      <c r="E3" s="198"/>
      <c r="F3" s="198"/>
    </row>
    <row r="4" spans="2:6" ht="11.25">
      <c r="B4" s="69"/>
      <c r="C4" s="70"/>
      <c r="D4" s="70"/>
      <c r="E4" s="68" t="s">
        <v>100</v>
      </c>
      <c r="F4" s="86" t="s">
        <v>137</v>
      </c>
    </row>
    <row r="5" spans="2:6" ht="11.25">
      <c r="B5" s="71"/>
      <c r="C5" s="72">
        <v>38776</v>
      </c>
      <c r="D5" s="72">
        <v>38807</v>
      </c>
      <c r="E5" s="73" t="s">
        <v>46</v>
      </c>
      <c r="F5" s="73" t="s">
        <v>46</v>
      </c>
    </row>
    <row r="6" spans="2:6" ht="11.25">
      <c r="B6" s="52" t="s">
        <v>62</v>
      </c>
      <c r="C6" s="126">
        <v>2847.57097846</v>
      </c>
      <c r="D6" s="126">
        <v>2665.48845417</v>
      </c>
      <c r="E6" s="126">
        <v>-182.08252429000004</v>
      </c>
      <c r="F6" s="128">
        <v>-6.394310296998196</v>
      </c>
    </row>
    <row r="7" spans="2:6" ht="11.25">
      <c r="B7" s="52" t="s">
        <v>63</v>
      </c>
      <c r="C7" s="126">
        <v>2708.40389488</v>
      </c>
      <c r="D7" s="126">
        <v>2470.30214206</v>
      </c>
      <c r="E7" s="126">
        <v>-238.10175282</v>
      </c>
      <c r="F7" s="128">
        <v>-8.791220292885802</v>
      </c>
    </row>
    <row r="8" spans="2:6" ht="11.25">
      <c r="B8" s="54" t="s">
        <v>64</v>
      </c>
      <c r="C8" s="127">
        <v>2616.34441796</v>
      </c>
      <c r="D8" s="127">
        <v>2299.22975506</v>
      </c>
      <c r="E8" s="127">
        <v>-317.1146629</v>
      </c>
      <c r="F8" s="129">
        <v>-12.120524374511009</v>
      </c>
    </row>
    <row r="9" spans="2:6" ht="11.25">
      <c r="B9" s="54" t="s">
        <v>65</v>
      </c>
      <c r="C9" s="127">
        <v>9.999999999999999E-09</v>
      </c>
      <c r="D9" s="127">
        <v>1E-08</v>
      </c>
      <c r="E9" s="127">
        <v>0</v>
      </c>
      <c r="F9" s="130">
        <v>0</v>
      </c>
    </row>
    <row r="10" spans="2:6" ht="11.25">
      <c r="B10" s="54" t="s">
        <v>66</v>
      </c>
      <c r="C10" s="127">
        <v>92.05947691</v>
      </c>
      <c r="D10" s="127">
        <v>171.07238699</v>
      </c>
      <c r="E10" s="127">
        <v>79.01291008000001</v>
      </c>
      <c r="F10" s="130">
        <v>85.82811105612224</v>
      </c>
    </row>
    <row r="11" spans="2:6" ht="11.25">
      <c r="B11" s="52" t="s">
        <v>67</v>
      </c>
      <c r="C11" s="126">
        <v>139.16708358</v>
      </c>
      <c r="D11" s="126">
        <v>195.18631211000002</v>
      </c>
      <c r="E11" s="126">
        <v>56.01922853000002</v>
      </c>
      <c r="F11" s="128">
        <v>40.253217275906664</v>
      </c>
    </row>
    <row r="12" spans="2:6" ht="11.25">
      <c r="B12" s="54" t="s">
        <v>135</v>
      </c>
      <c r="C12" s="127">
        <v>125.46657174999999</v>
      </c>
      <c r="D12" s="127">
        <v>181.58263707</v>
      </c>
      <c r="E12" s="127">
        <v>56.11606532000002</v>
      </c>
      <c r="F12" s="130">
        <v>44.7259094891146</v>
      </c>
    </row>
    <row r="13" spans="2:6" ht="11.25">
      <c r="B13" s="54" t="s">
        <v>101</v>
      </c>
      <c r="C13" s="127">
        <v>0</v>
      </c>
      <c r="D13" s="127">
        <v>0</v>
      </c>
      <c r="E13" s="127">
        <v>0</v>
      </c>
      <c r="F13" s="130">
        <v>0</v>
      </c>
    </row>
    <row r="14" spans="2:6" ht="11.25">
      <c r="B14" s="54" t="s">
        <v>68</v>
      </c>
      <c r="C14" s="127">
        <v>13.70051183</v>
      </c>
      <c r="D14" s="127">
        <v>13.603675040000002</v>
      </c>
      <c r="E14" s="127">
        <v>-0.09683678999999756</v>
      </c>
      <c r="F14" s="130">
        <v>-0.7068114768380706</v>
      </c>
    </row>
    <row r="15" spans="2:6" ht="11.25">
      <c r="B15" s="76"/>
      <c r="C15" s="126"/>
      <c r="D15" s="126"/>
      <c r="E15" s="126"/>
      <c r="F15" s="128"/>
    </row>
    <row r="16" spans="2:6" ht="11.25">
      <c r="B16" s="52" t="s">
        <v>69</v>
      </c>
      <c r="C16" s="126">
        <v>2847.5774784600026</v>
      </c>
      <c r="D16" s="126">
        <v>2665.4949541700003</v>
      </c>
      <c r="E16" s="126">
        <v>-182.0825242900023</v>
      </c>
      <c r="F16" s="128">
        <v>-6.3942957010769135</v>
      </c>
    </row>
    <row r="17" spans="2:6" ht="11.25">
      <c r="B17" s="52" t="s">
        <v>70</v>
      </c>
      <c r="C17" s="126">
        <v>1248.7097480600023</v>
      </c>
      <c r="D17" s="126">
        <v>1269.96281323</v>
      </c>
      <c r="E17" s="126">
        <v>21.253065169997626</v>
      </c>
      <c r="F17" s="128">
        <v>1.7020020227291752</v>
      </c>
    </row>
    <row r="18" spans="2:6" ht="11.25">
      <c r="B18" s="54" t="s">
        <v>71</v>
      </c>
      <c r="C18" s="127">
        <v>927.40312375</v>
      </c>
      <c r="D18" s="127">
        <v>922.7948969</v>
      </c>
      <c r="E18" s="127">
        <v>-4.608226849999937</v>
      </c>
      <c r="F18" s="130">
        <v>-0.49689576538909486</v>
      </c>
    </row>
    <row r="19" spans="2:6" ht="11.25">
      <c r="B19" s="54" t="s">
        <v>72</v>
      </c>
      <c r="C19" s="127">
        <v>321.30662431000223</v>
      </c>
      <c r="D19" s="127">
        <v>347.1679163299999</v>
      </c>
      <c r="E19" s="127">
        <v>25.861292019997677</v>
      </c>
      <c r="F19" s="130">
        <v>8.048788933478773</v>
      </c>
    </row>
    <row r="20" spans="2:6" ht="11.25">
      <c r="B20" s="52" t="s">
        <v>108</v>
      </c>
      <c r="C20" s="126">
        <v>1635.0050781600003</v>
      </c>
      <c r="D20" s="126">
        <v>1519.44957413</v>
      </c>
      <c r="E20" s="126">
        <v>-115.5555040300003</v>
      </c>
      <c r="F20" s="128">
        <v>-7.067592974086906</v>
      </c>
    </row>
    <row r="21" spans="2:6" ht="11.25">
      <c r="B21" s="54" t="s">
        <v>102</v>
      </c>
      <c r="C21" s="127">
        <v>968.9541101300001</v>
      </c>
      <c r="D21" s="127">
        <v>843.14213276</v>
      </c>
      <c r="E21" s="127">
        <v>-125.81197737000014</v>
      </c>
      <c r="F21" s="130">
        <v>-12.98430710543356</v>
      </c>
    </row>
    <row r="22" spans="2:6" ht="11.25">
      <c r="B22" s="77" t="s">
        <v>73</v>
      </c>
      <c r="C22" s="127">
        <v>666.0509680300001</v>
      </c>
      <c r="D22" s="127">
        <v>676.30744137</v>
      </c>
      <c r="E22" s="127">
        <v>10.256473339999843</v>
      </c>
      <c r="F22" s="130">
        <v>1.5398931661845243</v>
      </c>
    </row>
    <row r="23" spans="2:6" ht="11.25">
      <c r="B23" s="53" t="s">
        <v>47</v>
      </c>
      <c r="C23" s="127">
        <v>-36.13734776</v>
      </c>
      <c r="D23" s="127">
        <v>-123.91743318999998</v>
      </c>
      <c r="E23" s="127">
        <v>-87.78008542999999</v>
      </c>
      <c r="F23" s="130">
        <v>242.9068287273775</v>
      </c>
    </row>
    <row r="24" spans="2:6" ht="11.25">
      <c r="B24" s="31"/>
      <c r="C24" s="17"/>
      <c r="D24" s="17"/>
      <c r="E24" s="17"/>
      <c r="F24" s="75"/>
    </row>
    <row r="25" spans="2:6" ht="12" hidden="1" thickBot="1">
      <c r="B25" s="78" t="s">
        <v>96</v>
      </c>
      <c r="C25" s="79">
        <v>-0.006500000002233719</v>
      </c>
      <c r="D25" s="79">
        <v>-0.006500000002688466</v>
      </c>
      <c r="E25" s="56">
        <v>-4.547473508864641E-13</v>
      </c>
      <c r="F25" s="56">
        <v>0.006500000001778972</v>
      </c>
    </row>
    <row r="26" spans="2:6" ht="11.25">
      <c r="B26" s="80"/>
      <c r="C26" s="81"/>
      <c r="D26" s="81"/>
      <c r="E26" s="81"/>
      <c r="F26" s="82"/>
    </row>
    <row r="27" spans="2:6" ht="12" thickBot="1">
      <c r="B27" s="80"/>
      <c r="C27" s="81"/>
      <c r="D27" s="81"/>
      <c r="E27" s="81"/>
      <c r="F27" s="82"/>
    </row>
    <row r="28" spans="2:6" ht="11.25">
      <c r="B28" s="197" t="s">
        <v>99</v>
      </c>
      <c r="C28" s="197"/>
      <c r="D28" s="197"/>
      <c r="E28" s="197"/>
      <c r="F28" s="197"/>
    </row>
    <row r="29" spans="2:6" ht="11.25">
      <c r="B29" s="198" t="s">
        <v>74</v>
      </c>
      <c r="C29" s="198"/>
      <c r="D29" s="198"/>
      <c r="E29" s="198"/>
      <c r="F29" s="198"/>
    </row>
    <row r="30" spans="2:6" ht="11.25">
      <c r="B30" s="69"/>
      <c r="C30" s="70"/>
      <c r="D30" s="70"/>
      <c r="E30" s="68" t="s">
        <v>100</v>
      </c>
      <c r="F30" s="86" t="s">
        <v>137</v>
      </c>
    </row>
    <row r="31" spans="2:6" ht="11.25">
      <c r="B31" s="71"/>
      <c r="C31" s="72">
        <v>38776</v>
      </c>
      <c r="D31" s="72">
        <v>38807</v>
      </c>
      <c r="E31" s="73" t="s">
        <v>46</v>
      </c>
      <c r="F31" s="73" t="s">
        <v>46</v>
      </c>
    </row>
    <row r="32" spans="2:6" ht="11.25">
      <c r="B32" s="53" t="s">
        <v>62</v>
      </c>
      <c r="C32" s="126">
        <v>31207.20031881</v>
      </c>
      <c r="D32" s="126">
        <v>31239.743318810004</v>
      </c>
      <c r="E32" s="126">
        <v>32.54300000000512</v>
      </c>
      <c r="F32" s="128">
        <v>0.10428042140130712</v>
      </c>
    </row>
    <row r="33" spans="2:6" ht="11.25">
      <c r="B33" s="53" t="s">
        <v>63</v>
      </c>
      <c r="C33" s="126">
        <v>261.499</v>
      </c>
      <c r="D33" s="126">
        <v>236.82199999999997</v>
      </c>
      <c r="E33" s="126">
        <v>-24.67700000000005</v>
      </c>
      <c r="F33" s="128">
        <v>-9.436747368058787</v>
      </c>
    </row>
    <row r="34" spans="2:6" ht="11.25">
      <c r="B34" s="77" t="s">
        <v>75</v>
      </c>
      <c r="C34" s="127">
        <v>40.404</v>
      </c>
      <c r="D34" s="127">
        <v>65.376</v>
      </c>
      <c r="E34" s="127">
        <v>24.972</v>
      </c>
      <c r="F34" s="130">
        <v>61.805761805761804</v>
      </c>
    </row>
    <row r="35" spans="2:6" ht="11.25">
      <c r="B35" s="77" t="s">
        <v>64</v>
      </c>
      <c r="C35" s="127">
        <v>167.258</v>
      </c>
      <c r="D35" s="127">
        <v>120.245</v>
      </c>
      <c r="E35" s="127">
        <v>-47.01300000000002</v>
      </c>
      <c r="F35" s="130">
        <v>-28.10807255856223</v>
      </c>
    </row>
    <row r="36" spans="2:6" ht="11.25">
      <c r="B36" s="77" t="s">
        <v>76</v>
      </c>
      <c r="C36" s="127">
        <v>53.836999999999996</v>
      </c>
      <c r="D36" s="127">
        <v>51.201</v>
      </c>
      <c r="E36" s="127">
        <v>-2.6359999999999957</v>
      </c>
      <c r="F36" s="130">
        <v>-4.896260935787647</v>
      </c>
    </row>
    <row r="37" spans="2:6" ht="11.25">
      <c r="B37" s="77" t="s">
        <v>77</v>
      </c>
      <c r="C37" s="127">
        <v>0</v>
      </c>
      <c r="D37" s="127">
        <v>0</v>
      </c>
      <c r="E37" s="127">
        <v>0</v>
      </c>
      <c r="F37" s="130">
        <v>0</v>
      </c>
    </row>
    <row r="38" spans="2:6" ht="11.25">
      <c r="B38" s="53" t="s">
        <v>67</v>
      </c>
      <c r="C38" s="126">
        <v>28831.69671589</v>
      </c>
      <c r="D38" s="126">
        <v>28990.070715890004</v>
      </c>
      <c r="E38" s="126">
        <v>158.37400000000343</v>
      </c>
      <c r="F38" s="128">
        <v>0.5493051677139724</v>
      </c>
    </row>
    <row r="39" spans="2:6" ht="11.25">
      <c r="B39" s="77" t="s">
        <v>103</v>
      </c>
      <c r="C39" s="127">
        <v>584.195</v>
      </c>
      <c r="D39" s="127">
        <v>587.942</v>
      </c>
      <c r="E39" s="127">
        <v>3.7469999999999573</v>
      </c>
      <c r="F39" s="130">
        <v>0.6413954244729854</v>
      </c>
    </row>
    <row r="40" spans="2:6" ht="11.25">
      <c r="B40" s="77" t="s">
        <v>101</v>
      </c>
      <c r="C40" s="127">
        <v>2155.818</v>
      </c>
      <c r="D40" s="127">
        <v>2200.734</v>
      </c>
      <c r="E40" s="127">
        <v>44.91599999999971</v>
      </c>
      <c r="F40" s="130">
        <v>2.083478289911287</v>
      </c>
    </row>
    <row r="41" spans="2:6" ht="11.25">
      <c r="B41" s="77" t="s">
        <v>110</v>
      </c>
      <c r="C41" s="131">
        <v>1059.99634213</v>
      </c>
      <c r="D41" s="131">
        <v>1061.8343421299999</v>
      </c>
      <c r="E41" s="127">
        <v>1.8379999999999654</v>
      </c>
      <c r="F41" s="130">
        <v>0.17339682477645282</v>
      </c>
    </row>
    <row r="42" spans="2:6" ht="11.25">
      <c r="B42" s="77" t="s">
        <v>55</v>
      </c>
      <c r="C42" s="127">
        <v>31.221</v>
      </c>
      <c r="D42" s="127">
        <v>86.52</v>
      </c>
      <c r="E42" s="127">
        <v>55.29899999999999</v>
      </c>
      <c r="F42" s="130">
        <v>0</v>
      </c>
    </row>
    <row r="43" spans="2:6" ht="11.25">
      <c r="B43" s="77" t="s">
        <v>104</v>
      </c>
      <c r="C43" s="127">
        <v>32.127</v>
      </c>
      <c r="D43" s="127">
        <v>28.717</v>
      </c>
      <c r="E43" s="127">
        <v>-3.41</v>
      </c>
      <c r="F43" s="130">
        <v>-10.61412519064962</v>
      </c>
    </row>
    <row r="44" spans="2:6" ht="11.25">
      <c r="B44" s="77" t="s">
        <v>131</v>
      </c>
      <c r="C44" s="127">
        <v>285.428</v>
      </c>
      <c r="D44" s="127">
        <v>289.71299999999997</v>
      </c>
      <c r="E44" s="127">
        <v>4.284999999999968</v>
      </c>
      <c r="F44" s="130">
        <v>1.5012542567652676</v>
      </c>
    </row>
    <row r="45" spans="2:6" ht="11.25">
      <c r="B45" s="77" t="s">
        <v>78</v>
      </c>
      <c r="C45" s="127">
        <v>8964.192000000001</v>
      </c>
      <c r="D45" s="127">
        <v>8701.632000000001</v>
      </c>
      <c r="E45" s="127">
        <v>-262.5599999999995</v>
      </c>
      <c r="F45" s="130">
        <v>-2.928986795463545</v>
      </c>
    </row>
    <row r="46" spans="2:6" ht="11.25">
      <c r="B46" s="77" t="s">
        <v>56</v>
      </c>
      <c r="C46" s="127">
        <v>15718.71937376</v>
      </c>
      <c r="D46" s="127">
        <v>16032.978373760001</v>
      </c>
      <c r="E46" s="127">
        <v>314.25900000000183</v>
      </c>
      <c r="F46" s="130">
        <v>1.999265923180798</v>
      </c>
    </row>
    <row r="47" spans="2:6" ht="11.25">
      <c r="B47" s="83" t="s">
        <v>79</v>
      </c>
      <c r="C47" s="127">
        <v>2114.00460292</v>
      </c>
      <c r="D47" s="127">
        <v>2012.85060292</v>
      </c>
      <c r="E47" s="127">
        <v>-101.15399999999977</v>
      </c>
      <c r="F47" s="130">
        <v>-4.784947008170149</v>
      </c>
    </row>
    <row r="48" spans="2:6" ht="11.25">
      <c r="B48" s="84"/>
      <c r="C48" s="126"/>
      <c r="D48" s="126"/>
      <c r="E48" s="126"/>
      <c r="F48" s="130"/>
    </row>
    <row r="49" spans="2:6" ht="11.25">
      <c r="B49" s="53" t="s">
        <v>69</v>
      </c>
      <c r="C49" s="126">
        <v>31207.20050403</v>
      </c>
      <c r="D49" s="126">
        <v>31239.743526310005</v>
      </c>
      <c r="E49" s="126">
        <v>32.54302228000597</v>
      </c>
      <c r="F49" s="128">
        <v>0.1042804921761677</v>
      </c>
    </row>
    <row r="50" spans="2:6" ht="11.25">
      <c r="B50" s="83" t="s">
        <v>80</v>
      </c>
      <c r="C50" s="126">
        <v>2539.08922877</v>
      </c>
      <c r="D50" s="126">
        <v>2112.94322877</v>
      </c>
      <c r="E50" s="126">
        <v>-426.14599999999973</v>
      </c>
      <c r="F50" s="128">
        <v>-16.78341962824346</v>
      </c>
    </row>
    <row r="51" spans="2:6" ht="11.25">
      <c r="B51" s="77" t="s">
        <v>64</v>
      </c>
      <c r="C51" s="127">
        <v>1168.83780568</v>
      </c>
      <c r="D51" s="127">
        <v>1225.73380568</v>
      </c>
      <c r="E51" s="127">
        <v>56.89599999999996</v>
      </c>
      <c r="F51" s="130">
        <v>4.867741248915141</v>
      </c>
    </row>
    <row r="52" spans="2:6" ht="11.25">
      <c r="B52" s="77" t="s">
        <v>76</v>
      </c>
      <c r="C52" s="127">
        <v>1370.2514230900001</v>
      </c>
      <c r="D52" s="127">
        <v>887.20942309</v>
      </c>
      <c r="E52" s="127">
        <v>-483.04200000000014</v>
      </c>
      <c r="F52" s="130">
        <v>-35.252070668221684</v>
      </c>
    </row>
    <row r="53" spans="2:6" ht="11.25">
      <c r="B53" s="77" t="s">
        <v>81</v>
      </c>
      <c r="C53" s="127">
        <v>0</v>
      </c>
      <c r="D53" s="127">
        <v>0</v>
      </c>
      <c r="E53" s="127">
        <v>0</v>
      </c>
      <c r="F53" s="130">
        <v>0</v>
      </c>
    </row>
    <row r="54" spans="2:6" ht="11.25">
      <c r="B54" s="53" t="s">
        <v>82</v>
      </c>
      <c r="C54" s="126">
        <v>32128.041275260002</v>
      </c>
      <c r="D54" s="126">
        <v>32242.78129754</v>
      </c>
      <c r="E54" s="126">
        <v>114.74002227999881</v>
      </c>
      <c r="F54" s="128">
        <v>0.35713357467687784</v>
      </c>
    </row>
    <row r="55" spans="2:6" ht="11.25">
      <c r="B55" s="77" t="s">
        <v>83</v>
      </c>
      <c r="C55" s="126">
        <v>17522.96576168</v>
      </c>
      <c r="D55" s="126">
        <v>18529.38176168</v>
      </c>
      <c r="E55" s="126">
        <v>1006.4160000000011</v>
      </c>
      <c r="F55" s="128">
        <v>5.743411324816238</v>
      </c>
    </row>
    <row r="56" spans="2:6" ht="11.25">
      <c r="B56" s="85" t="s">
        <v>84</v>
      </c>
      <c r="C56" s="127">
        <v>9657.386</v>
      </c>
      <c r="D56" s="127">
        <v>10377.21</v>
      </c>
      <c r="E56" s="127">
        <v>719.8240000000005</v>
      </c>
      <c r="F56" s="130">
        <v>7.453611153162982</v>
      </c>
    </row>
    <row r="57" spans="2:6" ht="11.25">
      <c r="B57" s="85" t="s">
        <v>81</v>
      </c>
      <c r="C57" s="127">
        <v>7865.579761679999</v>
      </c>
      <c r="D57" s="127">
        <v>8152.171761680001</v>
      </c>
      <c r="E57" s="127">
        <v>286.59200000000146</v>
      </c>
      <c r="F57" s="130">
        <v>3.643622068346919</v>
      </c>
    </row>
    <row r="58" spans="2:6" ht="11.25">
      <c r="B58" s="77" t="s">
        <v>85</v>
      </c>
      <c r="C58" s="127">
        <v>5100.4923100000005</v>
      </c>
      <c r="D58" s="127">
        <v>4560.31610068</v>
      </c>
      <c r="E58" s="127">
        <v>-540.1762093200005</v>
      </c>
      <c r="F58" s="130">
        <v>-10.590668047100738</v>
      </c>
    </row>
    <row r="59" spans="2:6" ht="11.25">
      <c r="B59" s="77" t="s">
        <v>122</v>
      </c>
      <c r="C59" s="127">
        <v>0</v>
      </c>
      <c r="D59" s="127">
        <v>0</v>
      </c>
      <c r="E59" s="127">
        <v>0</v>
      </c>
      <c r="F59" s="130">
        <v>0</v>
      </c>
    </row>
    <row r="60" spans="2:6" ht="11.25">
      <c r="B60" s="77" t="s">
        <v>123</v>
      </c>
      <c r="C60" s="127">
        <v>402.26461488</v>
      </c>
      <c r="D60" s="127">
        <v>439.77161488</v>
      </c>
      <c r="E60" s="127">
        <v>37.507000000000005</v>
      </c>
      <c r="F60" s="130">
        <v>9.32396204204756</v>
      </c>
    </row>
    <row r="61" spans="2:6" ht="11.25">
      <c r="B61" s="77" t="s">
        <v>76</v>
      </c>
      <c r="C61" s="127">
        <v>3459.93</v>
      </c>
      <c r="D61" s="127">
        <v>3115.9810000000007</v>
      </c>
      <c r="E61" s="127">
        <v>-343.9489999999996</v>
      </c>
      <c r="F61" s="130">
        <v>-9.940923660305254</v>
      </c>
    </row>
    <row r="62" spans="2:6" ht="11.25">
      <c r="B62" s="77" t="s">
        <v>105</v>
      </c>
      <c r="C62" s="127">
        <v>0</v>
      </c>
      <c r="D62" s="127">
        <v>0</v>
      </c>
      <c r="E62" s="127">
        <v>0</v>
      </c>
      <c r="F62" s="130">
        <v>0</v>
      </c>
    </row>
    <row r="63" spans="2:6" ht="11.25">
      <c r="B63" s="77" t="s">
        <v>106</v>
      </c>
      <c r="C63" s="127">
        <v>0</v>
      </c>
      <c r="D63" s="127">
        <v>0</v>
      </c>
      <c r="E63" s="127">
        <v>0</v>
      </c>
      <c r="F63" s="130">
        <v>0</v>
      </c>
    </row>
    <row r="64" spans="2:6" ht="11.25">
      <c r="B64" s="77" t="s">
        <v>86</v>
      </c>
      <c r="C64" s="127">
        <v>1365.43221049</v>
      </c>
      <c r="D64" s="127">
        <v>1306.38144209</v>
      </c>
      <c r="E64" s="127">
        <v>-59.050768399999924</v>
      </c>
      <c r="F64" s="130">
        <v>-4.324694257711185</v>
      </c>
    </row>
    <row r="65" spans="2:6" ht="11.25">
      <c r="B65" s="77" t="s">
        <v>87</v>
      </c>
      <c r="C65" s="127">
        <v>4276.95637821</v>
      </c>
      <c r="D65" s="127">
        <v>4290.94937821</v>
      </c>
      <c r="E65" s="127">
        <v>13.992999999999483</v>
      </c>
      <c r="F65" s="130">
        <v>0.3271719129820973</v>
      </c>
    </row>
    <row r="66" spans="2:6" ht="11.25">
      <c r="B66" s="17"/>
      <c r="C66" s="17"/>
      <c r="D66" s="17"/>
      <c r="E66" s="17"/>
      <c r="F66" s="17"/>
    </row>
    <row r="67" spans="2:6" ht="12" hidden="1" thickBot="1">
      <c r="B67" s="56" t="s">
        <v>88</v>
      </c>
      <c r="C67" s="56">
        <v>-0.00027191999834030867</v>
      </c>
      <c r="D67" s="56">
        <v>-0.0004896500031463802</v>
      </c>
      <c r="E67" s="56">
        <v>-0.00021773000480607152</v>
      </c>
      <c r="F67" s="56">
        <v>-1.2805017355344006E-06</v>
      </c>
    </row>
    <row r="68" spans="2:6" ht="11.25">
      <c r="B68" s="92" t="s">
        <v>125</v>
      </c>
      <c r="C68" s="41"/>
      <c r="D68" s="41"/>
      <c r="E68" s="41"/>
      <c r="F68" s="41"/>
    </row>
    <row r="69" spans="2:6" ht="12" thickBot="1">
      <c r="B69" s="41"/>
      <c r="C69" s="41"/>
      <c r="D69" s="41"/>
      <c r="E69" s="41"/>
      <c r="F69" s="41"/>
    </row>
    <row r="70" spans="2:6" ht="11.25">
      <c r="B70" s="197" t="s">
        <v>99</v>
      </c>
      <c r="C70" s="197"/>
      <c r="D70" s="197"/>
      <c r="E70" s="197"/>
      <c r="F70" s="197"/>
    </row>
    <row r="71" spans="2:6" ht="11.25">
      <c r="B71" s="198" t="s">
        <v>98</v>
      </c>
      <c r="C71" s="198"/>
      <c r="D71" s="198"/>
      <c r="E71" s="198"/>
      <c r="F71" s="198"/>
    </row>
    <row r="72" spans="2:6" ht="11.25">
      <c r="B72" s="69"/>
      <c r="C72" s="70"/>
      <c r="D72" s="70"/>
      <c r="E72" s="68" t="s">
        <v>100</v>
      </c>
      <c r="F72" s="86" t="s">
        <v>137</v>
      </c>
    </row>
    <row r="73" spans="2:6" ht="11.25">
      <c r="B73" s="71"/>
      <c r="C73" s="72">
        <v>38776</v>
      </c>
      <c r="D73" s="72">
        <v>38807</v>
      </c>
      <c r="E73" s="73" t="s">
        <v>46</v>
      </c>
      <c r="F73" s="73" t="s">
        <v>46</v>
      </c>
    </row>
    <row r="74" spans="2:9" ht="11.25">
      <c r="B74" s="52" t="s">
        <v>62</v>
      </c>
      <c r="C74" s="53">
        <v>28463.250586989998</v>
      </c>
      <c r="D74" s="53">
        <v>28861.200324700003</v>
      </c>
      <c r="E74" s="53">
        <v>397.94973771000514</v>
      </c>
      <c r="F74" s="128">
        <v>1.3981176763131204</v>
      </c>
      <c r="G74" s="104"/>
      <c r="H74" s="104"/>
      <c r="I74" s="103"/>
    </row>
    <row r="75" spans="2:9" ht="11.25">
      <c r="B75" s="52" t="s">
        <v>0</v>
      </c>
      <c r="C75" s="17">
        <v>418.3940563500005</v>
      </c>
      <c r="D75" s="17">
        <v>581.93235938</v>
      </c>
      <c r="E75" s="17">
        <v>163.5383030299995</v>
      </c>
      <c r="F75" s="130">
        <v>39.08714776129475</v>
      </c>
      <c r="G75" s="104"/>
      <c r="H75" s="104"/>
      <c r="I75" s="103"/>
    </row>
    <row r="76" spans="2:8" ht="11.25">
      <c r="B76" s="52" t="s">
        <v>89</v>
      </c>
      <c r="C76" s="53">
        <v>25823.37077546</v>
      </c>
      <c r="D76" s="53">
        <v>26109.661916040004</v>
      </c>
      <c r="E76" s="53">
        <v>286.29114058000414</v>
      </c>
      <c r="F76" s="128">
        <v>1.1086513184873106</v>
      </c>
      <c r="G76" s="105"/>
      <c r="H76" s="105"/>
    </row>
    <row r="77" spans="2:8" ht="11.25">
      <c r="B77" s="54" t="s">
        <v>107</v>
      </c>
      <c r="C77" s="17">
        <v>777.9828898700002</v>
      </c>
      <c r="D77" s="17">
        <v>956.49786724</v>
      </c>
      <c r="E77" s="17">
        <v>178.51497736999977</v>
      </c>
      <c r="F77" s="130">
        <v>22.945874478014467</v>
      </c>
      <c r="G77" s="105"/>
      <c r="H77" s="105"/>
    </row>
    <row r="78" spans="2:8" ht="11.25">
      <c r="B78" s="54" t="s">
        <v>90</v>
      </c>
      <c r="C78" s="53">
        <v>25045.38788559</v>
      </c>
      <c r="D78" s="53">
        <v>25153.164048800005</v>
      </c>
      <c r="E78" s="53">
        <v>107.7761632100046</v>
      </c>
      <c r="F78" s="128">
        <v>0.43032339408092857</v>
      </c>
      <c r="G78" s="105"/>
      <c r="H78" s="105"/>
    </row>
    <row r="79" spans="2:8" ht="11.25">
      <c r="B79" s="54" t="s">
        <v>118</v>
      </c>
      <c r="C79" s="17">
        <v>31.221</v>
      </c>
      <c r="D79" s="17">
        <v>86.52</v>
      </c>
      <c r="E79" s="17">
        <v>55.29899999999999</v>
      </c>
      <c r="F79" s="130">
        <v>177.12116844431628</v>
      </c>
      <c r="G79" s="105"/>
      <c r="H79" s="105"/>
    </row>
    <row r="80" spans="2:8" ht="11.25">
      <c r="B80" s="54" t="s">
        <v>119</v>
      </c>
      <c r="C80" s="17">
        <v>32.127</v>
      </c>
      <c r="D80" s="17">
        <v>28.717</v>
      </c>
      <c r="E80" s="17">
        <v>-3.41</v>
      </c>
      <c r="F80" s="130">
        <v>-10.61412519064962</v>
      </c>
      <c r="G80" s="105"/>
      <c r="H80" s="105"/>
    </row>
    <row r="81" spans="2:8" ht="11.25">
      <c r="B81" s="54" t="s">
        <v>134</v>
      </c>
      <c r="C81" s="17">
        <v>285.428</v>
      </c>
      <c r="D81" s="17">
        <v>289.71299999999997</v>
      </c>
      <c r="E81" s="17">
        <v>4.284999999999968</v>
      </c>
      <c r="F81" s="130">
        <v>1.5012542567652676</v>
      </c>
      <c r="G81" s="105"/>
      <c r="H81" s="105"/>
    </row>
    <row r="82" spans="2:8" ht="11.25">
      <c r="B82" s="54" t="s">
        <v>121</v>
      </c>
      <c r="C82" s="17">
        <v>8964.192000000001</v>
      </c>
      <c r="D82" s="17">
        <v>8701.632000000001</v>
      </c>
      <c r="E82" s="17">
        <v>-262.5599999999995</v>
      </c>
      <c r="F82" s="130">
        <v>-2.928986795463545</v>
      </c>
      <c r="G82" s="105"/>
      <c r="H82" s="105"/>
    </row>
    <row r="83" spans="2:8" ht="11.25">
      <c r="B83" s="54" t="s">
        <v>120</v>
      </c>
      <c r="C83" s="17">
        <v>15732.41988559</v>
      </c>
      <c r="D83" s="17">
        <v>16046.5820488</v>
      </c>
      <c r="E83" s="17">
        <v>314.1621632100014</v>
      </c>
      <c r="F83" s="130">
        <v>1.9969093470341204</v>
      </c>
      <c r="G83" s="105"/>
      <c r="H83" s="105"/>
    </row>
    <row r="84" spans="2:9" ht="11.25">
      <c r="B84" s="52" t="s">
        <v>79</v>
      </c>
      <c r="C84" s="17">
        <v>2221.4857551799996</v>
      </c>
      <c r="D84" s="17">
        <v>2169.60604928</v>
      </c>
      <c r="E84" s="17">
        <v>-51.87970589999941</v>
      </c>
      <c r="F84" s="130">
        <v>-2.3353607277934474</v>
      </c>
      <c r="G84" s="104"/>
      <c r="H84" s="104"/>
      <c r="I84" s="103"/>
    </row>
    <row r="85" spans="2:8" ht="11.25">
      <c r="B85" s="31"/>
      <c r="C85" s="17"/>
      <c r="D85" s="17"/>
      <c r="E85" s="53"/>
      <c r="F85" s="128"/>
      <c r="G85" s="105"/>
      <c r="H85" s="105"/>
    </row>
    <row r="86" spans="2:9" ht="11.25">
      <c r="B86" s="52" t="s">
        <v>69</v>
      </c>
      <c r="C86" s="53">
        <v>28463.25727221</v>
      </c>
      <c r="D86" s="53">
        <v>28861.207032200004</v>
      </c>
      <c r="E86" s="53">
        <v>397.94975999000235</v>
      </c>
      <c r="F86" s="128">
        <v>1.3981174262108755</v>
      </c>
      <c r="G86" s="104"/>
      <c r="H86" s="104"/>
      <c r="I86" s="103"/>
    </row>
    <row r="87" spans="2:8" ht="11.25">
      <c r="B87" s="52" t="s">
        <v>91</v>
      </c>
      <c r="C87" s="53">
        <v>18222.195828539996</v>
      </c>
      <c r="D87" s="53">
        <v>19211.411154180005</v>
      </c>
      <c r="E87" s="53">
        <v>989.2153256400088</v>
      </c>
      <c r="F87" s="128">
        <v>5.428628552496831</v>
      </c>
      <c r="G87" s="105"/>
      <c r="H87" s="105"/>
    </row>
    <row r="88" spans="2:8" ht="11.25">
      <c r="B88" s="54" t="s">
        <v>92</v>
      </c>
      <c r="C88" s="17">
        <v>662.99512375</v>
      </c>
      <c r="D88" s="17">
        <v>680.9828969</v>
      </c>
      <c r="E88" s="17">
        <v>17.987773150000066</v>
      </c>
      <c r="F88" s="128">
        <v>2.713107910697521</v>
      </c>
      <c r="G88" s="105"/>
      <c r="H88" s="105"/>
    </row>
    <row r="89" spans="2:8" ht="11.25">
      <c r="B89" s="54" t="s">
        <v>93</v>
      </c>
      <c r="C89" s="17">
        <v>9693.62094311</v>
      </c>
      <c r="D89" s="17">
        <v>10378.256495600002</v>
      </c>
      <c r="E89" s="17">
        <v>684.6355524900027</v>
      </c>
      <c r="F89" s="128">
        <v>7.062743184492125</v>
      </c>
      <c r="G89" s="105"/>
      <c r="H89" s="105"/>
    </row>
    <row r="90" spans="2:8" ht="11.25">
      <c r="B90" s="54" t="s">
        <v>94</v>
      </c>
      <c r="C90" s="17">
        <v>7865.579761679999</v>
      </c>
      <c r="D90" s="17">
        <v>8152.171761680001</v>
      </c>
      <c r="E90" s="17">
        <v>286.59200000000146</v>
      </c>
      <c r="F90" s="128">
        <v>3.643622068346919</v>
      </c>
      <c r="G90" s="105"/>
      <c r="H90" s="105"/>
    </row>
    <row r="91" spans="2:9" ht="11.25">
      <c r="B91" s="52" t="s">
        <v>95</v>
      </c>
      <c r="C91" s="17">
        <v>10241.061443670003</v>
      </c>
      <c r="D91" s="17">
        <v>9649.795878019999</v>
      </c>
      <c r="E91" s="17">
        <v>-591.2655656500046</v>
      </c>
      <c r="F91" s="130">
        <v>-5.773479330264791</v>
      </c>
      <c r="G91" s="104"/>
      <c r="H91" s="104"/>
      <c r="I91" s="103"/>
    </row>
    <row r="92" spans="2:8" ht="11.25">
      <c r="B92" s="31"/>
      <c r="C92" s="17"/>
      <c r="D92" s="17"/>
      <c r="E92" s="53"/>
      <c r="F92" s="74"/>
      <c r="G92" s="105"/>
      <c r="H92" s="105"/>
    </row>
    <row r="93" spans="2:6" ht="12" hidden="1" thickBot="1">
      <c r="B93" s="55" t="s">
        <v>96</v>
      </c>
      <c r="C93" s="56">
        <f>C74-C86</f>
        <v>-0.00668522000341909</v>
      </c>
      <c r="D93" s="56">
        <f>D74-D86</f>
        <v>-0.006707500000629807</v>
      </c>
      <c r="E93" s="56">
        <f>E74-E86</f>
        <v>-2.227999721071683E-05</v>
      </c>
      <c r="F93" s="56">
        <v>-2.10160347235977E-06</v>
      </c>
    </row>
    <row r="94" spans="2:6" ht="11.25">
      <c r="B94" s="41"/>
      <c r="C94" s="41"/>
      <c r="D94" s="41"/>
      <c r="E94" s="41"/>
      <c r="F94" s="41"/>
    </row>
  </sheetData>
  <mergeCells count="6">
    <mergeCell ref="B2:F2"/>
    <mergeCell ref="B3:F3"/>
    <mergeCell ref="B70:F70"/>
    <mergeCell ref="B71:F71"/>
    <mergeCell ref="B28:F28"/>
    <mergeCell ref="B29:F29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2006-07-11T14:24:21Z</cp:lastPrinted>
  <dcterms:created xsi:type="dcterms:W3CDTF">1999-07-02T10:21:54Z</dcterms:created>
  <dcterms:modified xsi:type="dcterms:W3CDTF">2006-07-11T14:47:32Z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