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6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'S2'!$A$4:$Q$82</definedName>
    <definedName name="_xlnm.Print_Area" localSheetId="3">'S3'!$A$2:$R$96</definedName>
    <definedName name="_xlnm.Print_Area" localSheetId="4">'S4'!$A$1:$C$88</definedName>
    <definedName name="_xlnm.Print_Area" localSheetId="5">'S5'!$A$4:$P$84</definedName>
    <definedName name="_xlnm.Print_Area" localSheetId="6">'S6'!$B$2:$BZ$22</definedName>
    <definedName name="_xlnm.Print_Area" localSheetId="7">'S7'!$A$4:$R$71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<sst xmlns="http://schemas.openxmlformats.org/spreadsheetml/2006/main" count="254" uniqueCount="169">
  <si>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</si>
  <si>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</si>
  <si>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</si>
  <si>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</si>
  <si>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</si>
  <si>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</si>
  <si>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</si>
  <si>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</si>
  <si>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</si>
  <si>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</si>
  <si>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</si>
  <si>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</si>
  <si>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</si>
  <si>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</si>
  <si>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</si>
  <si>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</si>
  <si>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</si>
  <si>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</si>
  <si>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</si>
  <si>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</si>
  <si>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</si>
  <si>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</si>
  <si>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</si>
  <si>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</si>
  <si>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</si>
  <si>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</si>
  <si>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</si>
  <si>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</si>
  <si>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</si>
  <si>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</si>
  <si>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</si>
  <si>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</si>
  <si>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</si>
  <si>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</si>
  <si>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</si>
  <si>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</si>
  <si>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</si>
  <si>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</si>
  <si>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</si>
  <si>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</si>
  <si>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</si>
  <si>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</si>
  <si>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</si>
  <si>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</si>
  <si>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</si>
  <si>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</si>
  <si>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</si>
  <si>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</si>
  <si>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</si>
  <si>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</si>
  <si>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</si>
  <si>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</si>
  <si>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</si>
  <si>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</si>
  <si>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</si>
  <si>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</si>
  <si>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</si>
  <si>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</si>
  <si>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</si>
  <si>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</si>
  <si>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</si>
  <si>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</si>
  <si>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</si>
  <si>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</si>
  <si>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</si>
  <si>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</si>
  <si>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</si>
  <si>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</si>
  <si>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</si>
  <si>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</si>
  <si>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</si>
  <si>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</si>
  <si>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</si>
  <si>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</si>
  <si>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</si>
  <si>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</si>
  <si>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</si>
  <si>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</si>
  <si>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</si>
  <si>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</si>
  <si>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</si>
  <si>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</si>
  <si>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</si>
  <si>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</si>
  <si>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</si>
  <si>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</si>
  <si>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</si>
  <si>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</si>
  <si>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</si>
  <si>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</si>
  <si>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</si>
  <si>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</si>
  <si>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</si>
  <si>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</si>
  <si>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</si>
  <si>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</si>
  <si>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</si>
  <si>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</si>
  <si>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</si>
  <si>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</si>
  <si>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</si>
  <si>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</si>
  <si>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</si>
  <si>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</si>
  <si>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</si>
  <si>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</si>
  <si>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</si>
  <si>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</si>
  <si>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</si>
  <si>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</si>
  <si>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</si>
  <si>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</si>
  <si>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</si>
  <si>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</si>
  <si>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</si>
  <si>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</si>
  <si>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</si>
  <si>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</si>
  <si>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</si>
  <si>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</si>
  <si>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</si>
  <si>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</si>
  <si>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</si>
  <si>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</si>
  <si>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</si>
  <si>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</si>
  <si>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</si>
  <si>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</si>
  <si>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</si>
  <si>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</si>
  <si>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</si>
  <si>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</si>
  <si>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</si>
  <si>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</si>
  <si>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</si>
  <si>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</si>
  <si>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</si>
  <si>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</si>
  <si>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</si>
  <si>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</si>
  <si>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</si>
  <si>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</si>
  <si>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</si>
  <si>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</si>
  <si>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</si>
  <si>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</si>
  <si>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</si>
  <si>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</si>
  <si>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</si>
  <si>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</si>
  <si>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</si>
  <si>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</si>
  <si>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</si>
  <si>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</si>
  <si>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</si>
  <si>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</si>
  <si>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</si>
  <si>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</si>
  <si>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</si>
  <si>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</si>
  <si>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</si>
  <si>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</si>
  <si>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</si>
  <si>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</si>
  <si>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 xml:space="preserve">     BON's Net Foreign Assets</t>
  </si>
  <si>
    <t>EU per NAD</t>
  </si>
  <si>
    <t>One Month</t>
  </si>
  <si>
    <t>One Year</t>
  </si>
  <si>
    <t xml:space="preserve">    Domestic and other sectors claims (month-on-month  percentage changes)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</si>
</sst>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  <numFmt numFmtId="225" formatCode="#,##0.0000"/>
    <numFmt numFmtId="226" formatCode="#,##0.00000"/>
    <numFmt numFmtId="227" formatCode="#,##0.00000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9"/>
      <color indexed="25"/>
      <name val="Arial"/>
      <family val="2"/>
    </font>
    <font>
      <sz val="8"/>
      <color indexed="25"/>
      <name val="Arial"/>
      <family val="2"/>
    </font>
    <font>
      <sz val="6"/>
      <color indexed="25"/>
      <name val="Arial"/>
      <family val="2"/>
    </font>
    <font>
      <sz val="11"/>
      <color indexed="25"/>
      <name val="Arial"/>
      <family val="2"/>
    </font>
    <font>
      <sz val="10"/>
      <color indexed="25"/>
      <name val="Arial"/>
      <family val="2"/>
    </font>
    <font>
      <sz val="8"/>
      <color indexed="8"/>
      <name val="Arial"/>
      <family val="2"/>
    </font>
    <font>
      <sz val="14"/>
      <color indexed="16"/>
      <name val="Arial"/>
      <family val="2"/>
    </font>
    <font>
      <sz val="12"/>
      <color indexed="16"/>
      <name val="Arial"/>
      <family val="2"/>
    </font>
    <font>
      <sz val="10.5"/>
      <color indexed="25"/>
      <name val="Arial"/>
      <family val="2"/>
    </font>
    <font>
      <sz val="12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7.55"/>
      <color indexed="25"/>
      <name val="Arial"/>
      <family val="2"/>
    </font>
    <font>
      <sz val="5.7"/>
      <color indexed="25"/>
      <name val="Arial"/>
      <family val="2"/>
    </font>
    <font>
      <sz val="10.1"/>
      <color indexed="16"/>
      <name val="Arial"/>
      <family val="2"/>
    </font>
    <font>
      <sz val="7.8"/>
      <color indexed="25"/>
      <name val="Arial"/>
      <family val="2"/>
    </font>
    <font>
      <sz val="8.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39" borderId="0" xfId="109" applyNumberFormat="1" applyFont="1" applyFill="1" applyBorder="1">
      <alignment/>
      <protection/>
    </xf>
    <xf numFmtId="191" fontId="4" fillId="39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0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227" fontId="0" fillId="0" borderId="0" xfId="0" applyNumberFormat="1" applyAlignment="1">
      <alignment/>
    </xf>
    <xf numFmtId="43" fontId="115" fillId="35" borderId="15" xfId="42" applyFont="1" applyFill="1" applyBorder="1" applyAlignment="1">
      <alignment horizontal="right"/>
    </xf>
    <xf numFmtId="191" fontId="4" fillId="38" borderId="18" xfId="109" applyNumberFormat="1" applyFont="1" applyFill="1" applyBorder="1" applyAlignment="1">
      <alignment horizontal="right"/>
      <protection/>
    </xf>
    <xf numFmtId="4" fontId="115" fillId="35" borderId="15" xfId="42" applyNumberFormat="1" applyFont="1" applyFill="1" applyBorder="1" applyAlignment="1">
      <alignment horizontal="right"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0" fontId="40" fillId="33" borderId="15" xfId="0" applyFont="1" applyFill="1" applyBorder="1" applyAlignment="1">
      <alignment horizontal="left" indent="10"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725"/>
          <c:w val="0.960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'[3]M1 M2 Chart'!$BO$2:$CB$2</c:f>
              <c:numCache>
                <c:ptCount val="14"/>
                <c:pt idx="0">
                  <c:v>39629</c:v>
                </c:pt>
                <c:pt idx="1">
                  <c:v>39660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</c:numCache>
            </c:numRef>
          </c:cat>
          <c:val>
            <c:numRef>
              <c:f>'[3]M1 M2 Chart'!$BO$8:$CB$8</c:f>
              <c:numCache>
                <c:ptCount val="14"/>
                <c:pt idx="0">
                  <c:v>0.8272827782340273</c:v>
                </c:pt>
                <c:pt idx="1">
                  <c:v>6.327522043796926</c:v>
                </c:pt>
                <c:pt idx="2">
                  <c:v>-5.37998189760437</c:v>
                </c:pt>
                <c:pt idx="3">
                  <c:v>2.8928078536101274</c:v>
                </c:pt>
                <c:pt idx="4">
                  <c:v>0.6439831021346714</c:v>
                </c:pt>
                <c:pt idx="5">
                  <c:v>1.8487980056781463</c:v>
                </c:pt>
                <c:pt idx="6">
                  <c:v>-1.5968998485372725</c:v>
                </c:pt>
                <c:pt idx="7">
                  <c:v>2.2320562951535385</c:v>
                </c:pt>
                <c:pt idx="8">
                  <c:v>-1.8560209262167098</c:v>
                </c:pt>
                <c:pt idx="9">
                  <c:v>2.362310902846023</c:v>
                </c:pt>
                <c:pt idx="10">
                  <c:v>0.33048290481578424</c:v>
                </c:pt>
                <c:pt idx="11">
                  <c:v>-0.1535163840744783</c:v>
                </c:pt>
                <c:pt idx="12">
                  <c:v>0.7490829522710742</c:v>
                </c:pt>
                <c:pt idx="13">
                  <c:v>0.5123331467286828</c:v>
                </c:pt>
              </c:numCache>
            </c:numRef>
          </c:val>
        </c:ser>
        <c:ser>
          <c:idx val="1"/>
          <c:order val="1"/>
          <c:tx>
            <c:strRef>
              <c:f>'[3]M1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'[3]M1 M2 Chart'!$BO$2:$CB$2</c:f>
              <c:numCache>
                <c:ptCount val="14"/>
                <c:pt idx="0">
                  <c:v>39629</c:v>
                </c:pt>
                <c:pt idx="1">
                  <c:v>39660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</c:numCache>
            </c:numRef>
          </c:cat>
          <c:val>
            <c:numRef>
              <c:f>'[3]M1 M2 Chart'!$BO$9:$CB$9</c:f>
              <c:numCache>
                <c:ptCount val="14"/>
                <c:pt idx="0">
                  <c:v>4.878776647467522</c:v>
                </c:pt>
                <c:pt idx="1">
                  <c:v>8.088498086381813</c:v>
                </c:pt>
                <c:pt idx="2">
                  <c:v>-4.4759391526018995</c:v>
                </c:pt>
                <c:pt idx="3">
                  <c:v>1.2390717930486315</c:v>
                </c:pt>
                <c:pt idx="4">
                  <c:v>-7.4774713855295865</c:v>
                </c:pt>
                <c:pt idx="5">
                  <c:v>4.924255561007868</c:v>
                </c:pt>
                <c:pt idx="6">
                  <c:v>0.39898149972288327</c:v>
                </c:pt>
                <c:pt idx="7">
                  <c:v>2.117849361403987</c:v>
                </c:pt>
                <c:pt idx="8">
                  <c:v>-0.2386392931238921</c:v>
                </c:pt>
                <c:pt idx="9">
                  <c:v>4.665005161830773</c:v>
                </c:pt>
                <c:pt idx="10">
                  <c:v>-0.4037910053578945</c:v>
                </c:pt>
                <c:pt idx="11">
                  <c:v>0.9557588839413594</c:v>
                </c:pt>
                <c:pt idx="12">
                  <c:v>1.574679474620835</c:v>
                </c:pt>
                <c:pt idx="13">
                  <c:v>0.23264894888266516</c:v>
                </c:pt>
              </c:numCache>
            </c:numRef>
          </c:val>
        </c:ser>
        <c:axId val="3571998"/>
        <c:axId val="32147983"/>
      </c:barChart>
      <c:dateAx>
        <c:axId val="3571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2147983"/>
        <c:crosses val="autoZero"/>
        <c:auto val="0"/>
        <c:noMultiLvlLbl val="0"/>
      </c:dateAx>
      <c:valAx>
        <c:axId val="321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0.0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93775"/>
          <c:w val="0.575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"/>
          <c:w val="0.942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 PSC chart'!$BP$2:$CC$2</c:f>
              <c:numCache>
                <c:ptCount val="14"/>
                <c:pt idx="0">
                  <c:v>39629</c:v>
                </c:pt>
                <c:pt idx="1">
                  <c:v>39660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</c:numCache>
            </c:numRef>
          </c:cat>
          <c:val>
            <c:numRef>
              <c:f>'[3] PSC chart'!$BN$11:$CA$11</c:f>
              <c:numCache>
                <c:ptCount val="14"/>
                <c:pt idx="0">
                  <c:v>1.6125924625514372</c:v>
                </c:pt>
                <c:pt idx="1">
                  <c:v>-4.399490493217304</c:v>
                </c:pt>
                <c:pt idx="2">
                  <c:v>4.851910087405438</c:v>
                </c:pt>
                <c:pt idx="3">
                  <c:v>2.657976274018554</c:v>
                </c:pt>
                <c:pt idx="4">
                  <c:v>-4.830797456283062</c:v>
                </c:pt>
                <c:pt idx="5">
                  <c:v>4.0709732556819995</c:v>
                </c:pt>
                <c:pt idx="6">
                  <c:v>3.315189370473283</c:v>
                </c:pt>
                <c:pt idx="7">
                  <c:v>-6.406254840136411</c:v>
                </c:pt>
                <c:pt idx="8">
                  <c:v>0.5183161691678748</c:v>
                </c:pt>
                <c:pt idx="9">
                  <c:v>1.0303456542335603</c:v>
                </c:pt>
                <c:pt idx="10">
                  <c:v>-1.6156167980054699</c:v>
                </c:pt>
                <c:pt idx="11">
                  <c:v>0.3838546124144301</c:v>
                </c:pt>
                <c:pt idx="12">
                  <c:v>0.8993191183882062</c:v>
                </c:pt>
                <c:pt idx="13">
                  <c:v>0.5892447318595073</c:v>
                </c:pt>
              </c:numCache>
            </c:numRef>
          </c:val>
        </c:ser>
        <c:ser>
          <c:idx val="1"/>
          <c:order val="1"/>
          <c:tx>
            <c:strRef>
              <c:f>'[3]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 PSC chart'!$BP$2:$CC$2</c:f>
              <c:numCache>
                <c:ptCount val="14"/>
                <c:pt idx="0">
                  <c:v>39629</c:v>
                </c:pt>
                <c:pt idx="1">
                  <c:v>39660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</c:numCache>
            </c:numRef>
          </c:cat>
          <c:val>
            <c:numRef>
              <c:f>'[3] PSC chart'!$BN$12:$CA$12</c:f>
              <c:numCache>
                <c:ptCount val="14"/>
                <c:pt idx="0">
                  <c:v>1.188283065867892</c:v>
                </c:pt>
                <c:pt idx="1">
                  <c:v>0.6884786335654285</c:v>
                </c:pt>
                <c:pt idx="2">
                  <c:v>1.2104707999286515</c:v>
                </c:pt>
                <c:pt idx="3">
                  <c:v>0.7539465025562863</c:v>
                </c:pt>
                <c:pt idx="4">
                  <c:v>1.2872926060997363</c:v>
                </c:pt>
                <c:pt idx="5">
                  <c:v>0.9962323302300876</c:v>
                </c:pt>
                <c:pt idx="6">
                  <c:v>2.3542560329519078</c:v>
                </c:pt>
                <c:pt idx="7">
                  <c:v>0.08903063807790236</c:v>
                </c:pt>
                <c:pt idx="8">
                  <c:v>0.5596586251791982</c:v>
                </c:pt>
                <c:pt idx="9">
                  <c:v>1.1131584642264734</c:v>
                </c:pt>
                <c:pt idx="10">
                  <c:v>0.5351732950244615</c:v>
                </c:pt>
                <c:pt idx="11">
                  <c:v>0.5021697823329414</c:v>
                </c:pt>
                <c:pt idx="12">
                  <c:v>-0.12159019420876481</c:v>
                </c:pt>
                <c:pt idx="13">
                  <c:v>0.7972370599840594</c:v>
                </c:pt>
              </c:numCache>
            </c:numRef>
          </c:val>
        </c:ser>
        <c:axId val="20896392"/>
        <c:axId val="53849801"/>
      </c:barChart>
      <c:dateAx>
        <c:axId val="208963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3849801"/>
        <c:crosses val="autoZero"/>
        <c:auto val="0"/>
        <c:noMultiLvlLbl val="0"/>
      </c:dateAx>
      <c:valAx>
        <c:axId val="53849801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75"/>
          <c:y val="0.94125"/>
          <c:w val="0.523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76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'[3]M1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'[3]M1 M2 Chart'!$AQ$6:$CB$7</c:f>
              <c:multiLvlStrCache>
                <c:ptCount val="38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J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  <c:pt idx="13">
                    <c:v>J</c:v>
                  </c:pt>
                  <c:pt idx="14">
                    <c:v>A</c:v>
                  </c:pt>
                  <c:pt idx="15">
                    <c:v>S</c:v>
                  </c:pt>
                  <c:pt idx="16">
                    <c:v>O</c:v>
                  </c:pt>
                  <c:pt idx="17">
                    <c:v>N</c:v>
                  </c:pt>
                  <c:pt idx="18">
                    <c:v>D</c:v>
                  </c:pt>
                  <c:pt idx="19">
                    <c:v>J</c:v>
                  </c:pt>
                  <c:pt idx="20">
                    <c:v>F</c:v>
                  </c:pt>
                  <c:pt idx="21">
                    <c:v>M</c:v>
                  </c:pt>
                  <c:pt idx="22">
                    <c:v>A</c:v>
                  </c:pt>
                  <c:pt idx="23">
                    <c:v>M</c:v>
                  </c:pt>
                  <c:pt idx="24">
                    <c:v>J</c:v>
                  </c:pt>
                  <c:pt idx="25">
                    <c:v>J</c:v>
                  </c:pt>
                  <c:pt idx="26">
                    <c:v>A</c:v>
                  </c:pt>
                  <c:pt idx="27">
                    <c:v>S</c:v>
                  </c:pt>
                  <c:pt idx="28">
                    <c:v>O</c:v>
                  </c:pt>
                  <c:pt idx="29">
                    <c:v>N</c:v>
                  </c:pt>
                  <c:pt idx="30">
                    <c:v>D</c:v>
                  </c:pt>
                  <c:pt idx="31">
                    <c:v>J</c:v>
                  </c:pt>
                  <c:pt idx="32">
                    <c:v>F</c:v>
                  </c:pt>
                  <c:pt idx="33">
                    <c:v>M</c:v>
                  </c:pt>
                  <c:pt idx="34">
                    <c:v>A</c:v>
                  </c:pt>
                  <c:pt idx="35">
                    <c:v>M</c:v>
                  </c:pt>
                  <c:pt idx="36">
                    <c:v>J</c:v>
                  </c:pt>
                  <c:pt idx="37">
                    <c:v>J</c:v>
                  </c:pt>
                </c:lvl>
                <c:lvl>
                  <c:pt idx="0">
                    <c:v>2006</c:v>
                  </c:pt>
                  <c:pt idx="7">
                    <c:v>Jun-05</c:v>
                  </c:pt>
                  <c:pt idx="19">
                    <c:v>Jun-05</c:v>
                  </c:pt>
                  <c:pt idx="31">
                    <c:v>Jul-05</c:v>
                  </c:pt>
                </c:lvl>
              </c:multiLvlStrCache>
            </c:multiLvlStrRef>
          </c:cat>
          <c:val>
            <c:numRef>
              <c:f>'[3]M1 M2 Chart'!$AQ$10:$CB$10</c:f>
              <c:numCache>
                <c:ptCount val="38"/>
                <c:pt idx="0">
                  <c:v>19.78430340277737</c:v>
                </c:pt>
                <c:pt idx="1">
                  <c:v>20.00993589216351</c:v>
                </c:pt>
                <c:pt idx="2">
                  <c:v>20.048531873604738</c:v>
                </c:pt>
                <c:pt idx="3">
                  <c:v>26.986302920432426</c:v>
                </c:pt>
                <c:pt idx="4">
                  <c:v>28.88947052779418</c:v>
                </c:pt>
                <c:pt idx="5">
                  <c:v>31.202335040567952</c:v>
                </c:pt>
                <c:pt idx="6">
                  <c:v>32.048793790371356</c:v>
                </c:pt>
                <c:pt idx="7">
                  <c:v>33.73499250428582</c:v>
                </c:pt>
                <c:pt idx="8">
                  <c:v>29.64005884283698</c:v>
                </c:pt>
                <c:pt idx="9">
                  <c:v>20.451162411398126</c:v>
                </c:pt>
                <c:pt idx="10">
                  <c:v>20.576221177079134</c:v>
                </c:pt>
                <c:pt idx="11">
                  <c:v>19.174746289291544</c:v>
                </c:pt>
                <c:pt idx="12">
                  <c:v>9.481845616092265</c:v>
                </c:pt>
                <c:pt idx="13">
                  <c:v>18.507489126733233</c:v>
                </c:pt>
                <c:pt idx="14">
                  <c:v>20.88274549887752</c:v>
                </c:pt>
                <c:pt idx="15">
                  <c:v>19.47370331052913</c:v>
                </c:pt>
                <c:pt idx="16">
                  <c:v>12.383776715101401</c:v>
                </c:pt>
                <c:pt idx="17">
                  <c:v>15.838827031610126</c:v>
                </c:pt>
                <c:pt idx="18">
                  <c:v>10.062477904328038</c:v>
                </c:pt>
                <c:pt idx="19">
                  <c:v>11.460310896844605</c:v>
                </c:pt>
                <c:pt idx="20">
                  <c:v>20.216427242318847</c:v>
                </c:pt>
                <c:pt idx="21">
                  <c:v>19.654303071608005</c:v>
                </c:pt>
                <c:pt idx="22">
                  <c:v>20.445071945158144</c:v>
                </c:pt>
                <c:pt idx="23">
                  <c:v>18.191376290417118</c:v>
                </c:pt>
                <c:pt idx="24">
                  <c:v>24.478508423962353</c:v>
                </c:pt>
                <c:pt idx="25">
                  <c:v>19.801851971603178</c:v>
                </c:pt>
                <c:pt idx="26">
                  <c:v>12.979826484115087</c:v>
                </c:pt>
                <c:pt idx="27">
                  <c:v>12.793874116750636</c:v>
                </c:pt>
                <c:pt idx="28">
                  <c:v>16.74104321346901</c:v>
                </c:pt>
                <c:pt idx="29">
                  <c:v>13.4178876384345</c:v>
                </c:pt>
                <c:pt idx="30">
                  <c:v>17.866874085413322</c:v>
                </c:pt>
                <c:pt idx="31">
                  <c:v>15.381148485475427</c:v>
                </c:pt>
                <c:pt idx="32">
                  <c:v>5.857079235067664</c:v>
                </c:pt>
                <c:pt idx="33">
                  <c:v>11.10712543850818</c:v>
                </c:pt>
                <c:pt idx="34">
                  <c:v>8.438914311556879</c:v>
                </c:pt>
                <c:pt idx="35">
                  <c:v>8.318047713934407</c:v>
                </c:pt>
                <c:pt idx="36">
                  <c:v>8.234038185496484</c:v>
                </c:pt>
                <c:pt idx="37">
                  <c:v>2.3145794692301047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'[3]M1 M2 Chart'!$AQ$6:$CB$7</c:f>
              <c:multiLvlStrCache>
                <c:ptCount val="38"/>
                <c:lvl>
                  <c:pt idx="0">
                    <c:v>J</c:v>
                  </c:pt>
                  <c:pt idx="1">
                    <c:v>J</c:v>
                  </c:pt>
                  <c:pt idx="2">
                    <c:v>A</c:v>
                  </c:pt>
                  <c:pt idx="3">
                    <c:v>S</c:v>
                  </c:pt>
                  <c:pt idx="4">
                    <c:v>O</c:v>
                  </c:pt>
                  <c:pt idx="5">
                    <c:v>N</c:v>
                  </c:pt>
                  <c:pt idx="6">
                    <c:v>D</c:v>
                  </c:pt>
                  <c:pt idx="7">
                    <c:v>J</c:v>
                  </c:pt>
                  <c:pt idx="8">
                    <c:v>F</c:v>
                  </c:pt>
                  <c:pt idx="9">
                    <c:v>M</c:v>
                  </c:pt>
                  <c:pt idx="10">
                    <c:v>A</c:v>
                  </c:pt>
                  <c:pt idx="11">
                    <c:v>M</c:v>
                  </c:pt>
                  <c:pt idx="12">
                    <c:v>J</c:v>
                  </c:pt>
                  <c:pt idx="13">
                    <c:v>J</c:v>
                  </c:pt>
                  <c:pt idx="14">
                    <c:v>A</c:v>
                  </c:pt>
                  <c:pt idx="15">
                    <c:v>S</c:v>
                  </c:pt>
                  <c:pt idx="16">
                    <c:v>O</c:v>
                  </c:pt>
                  <c:pt idx="17">
                    <c:v>N</c:v>
                  </c:pt>
                  <c:pt idx="18">
                    <c:v>D</c:v>
                  </c:pt>
                  <c:pt idx="19">
                    <c:v>J</c:v>
                  </c:pt>
                  <c:pt idx="20">
                    <c:v>F</c:v>
                  </c:pt>
                  <c:pt idx="21">
                    <c:v>M</c:v>
                  </c:pt>
                  <c:pt idx="22">
                    <c:v>A</c:v>
                  </c:pt>
                  <c:pt idx="23">
                    <c:v>M</c:v>
                  </c:pt>
                  <c:pt idx="24">
                    <c:v>J</c:v>
                  </c:pt>
                  <c:pt idx="25">
                    <c:v>J</c:v>
                  </c:pt>
                  <c:pt idx="26">
                    <c:v>A</c:v>
                  </c:pt>
                  <c:pt idx="27">
                    <c:v>S</c:v>
                  </c:pt>
                  <c:pt idx="28">
                    <c:v>O</c:v>
                  </c:pt>
                  <c:pt idx="29">
                    <c:v>N</c:v>
                  </c:pt>
                  <c:pt idx="30">
                    <c:v>D</c:v>
                  </c:pt>
                  <c:pt idx="31">
                    <c:v>J</c:v>
                  </c:pt>
                  <c:pt idx="32">
                    <c:v>F</c:v>
                  </c:pt>
                  <c:pt idx="33">
                    <c:v>M</c:v>
                  </c:pt>
                  <c:pt idx="34">
                    <c:v>A</c:v>
                  </c:pt>
                  <c:pt idx="35">
                    <c:v>M</c:v>
                  </c:pt>
                  <c:pt idx="36">
                    <c:v>J</c:v>
                  </c:pt>
                  <c:pt idx="37">
                    <c:v>J</c:v>
                  </c:pt>
                </c:lvl>
                <c:lvl>
                  <c:pt idx="0">
                    <c:v>2006</c:v>
                  </c:pt>
                  <c:pt idx="7">
                    <c:v>Jun-05</c:v>
                  </c:pt>
                  <c:pt idx="19">
                    <c:v>Jun-05</c:v>
                  </c:pt>
                  <c:pt idx="31">
                    <c:v>Jul-05</c:v>
                  </c:pt>
                </c:lvl>
              </c:multiLvlStrCache>
            </c:multiLvlStrRef>
          </c:cat>
          <c:val>
            <c:numRef>
              <c:f>'[3]M1 M2 Chart'!$AQ$11:$CB$11</c:f>
              <c:numCache>
                <c:ptCount val="38"/>
                <c:pt idx="0">
                  <c:v>22.669739413680023</c:v>
                </c:pt>
                <c:pt idx="1">
                  <c:v>19.26520444972315</c:v>
                </c:pt>
                <c:pt idx="2">
                  <c:v>19.794919771930218</c:v>
                </c:pt>
                <c:pt idx="3">
                  <c:v>29.051577363950052</c:v>
                </c:pt>
                <c:pt idx="4">
                  <c:v>42.88057309725204</c:v>
                </c:pt>
                <c:pt idx="5">
                  <c:v>45.08204188040932</c:v>
                </c:pt>
                <c:pt idx="6">
                  <c:v>40.1416157271636</c:v>
                </c:pt>
                <c:pt idx="7">
                  <c:v>41.92464220017169</c:v>
                </c:pt>
                <c:pt idx="8">
                  <c:v>36.64912750255096</c:v>
                </c:pt>
                <c:pt idx="9">
                  <c:v>29.676511605062995</c:v>
                </c:pt>
                <c:pt idx="10">
                  <c:v>29.972796393561385</c:v>
                </c:pt>
                <c:pt idx="11">
                  <c:v>25.38083915078888</c:v>
                </c:pt>
                <c:pt idx="12">
                  <c:v>10.48832297113913</c:v>
                </c:pt>
                <c:pt idx="13">
                  <c:v>25.611306640508612</c:v>
                </c:pt>
                <c:pt idx="14">
                  <c:v>29.187098356069075</c:v>
                </c:pt>
                <c:pt idx="15">
                  <c:v>18.554446073351972</c:v>
                </c:pt>
                <c:pt idx="16">
                  <c:v>5.1741364881781715</c:v>
                </c:pt>
                <c:pt idx="17">
                  <c:v>12.258707587577057</c:v>
                </c:pt>
                <c:pt idx="18">
                  <c:v>6.825594746946906</c:v>
                </c:pt>
                <c:pt idx="19">
                  <c:v>6.741589893165956</c:v>
                </c:pt>
                <c:pt idx="20">
                  <c:v>19.65628492625853</c:v>
                </c:pt>
                <c:pt idx="21">
                  <c:v>16.61336445927315</c:v>
                </c:pt>
                <c:pt idx="22">
                  <c:v>18.725391557397785</c:v>
                </c:pt>
                <c:pt idx="23">
                  <c:v>16.39575416187611</c:v>
                </c:pt>
                <c:pt idx="24">
                  <c:v>36.41824342129152</c:v>
                </c:pt>
                <c:pt idx="25">
                  <c:v>25.773361878869405</c:v>
                </c:pt>
                <c:pt idx="26">
                  <c:v>18.330434019012355</c:v>
                </c:pt>
                <c:pt idx="27">
                  <c:v>25.060998494253873</c:v>
                </c:pt>
                <c:pt idx="28">
                  <c:v>16.93392494932191</c:v>
                </c:pt>
                <c:pt idx="29">
                  <c:v>15.608206332380782</c:v>
                </c:pt>
                <c:pt idx="30">
                  <c:v>26.880989450156576</c:v>
                </c:pt>
                <c:pt idx="31">
                  <c:v>22.26318749713816</c:v>
                </c:pt>
                <c:pt idx="32">
                  <c:v>7.937305685732587</c:v>
                </c:pt>
                <c:pt idx="33">
                  <c:v>14.521446310902263</c:v>
                </c:pt>
                <c:pt idx="34">
                  <c:v>11.701815340616184</c:v>
                </c:pt>
                <c:pt idx="35">
                  <c:v>14.556609714878777</c:v>
                </c:pt>
                <c:pt idx="36">
                  <c:v>10.947622440340687</c:v>
                </c:pt>
                <c:pt idx="37">
                  <c:v>2.8839727506301482</c:v>
                </c:pt>
              </c:numCache>
            </c:numRef>
          </c:val>
          <c:smooth val="1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  <c:max val="4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0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94025"/>
          <c:w val="0.6695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'[3]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 PSC chart'!$AW$9:$CA$10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Jul-05</c:v>
                  </c:pt>
                </c:lvl>
              </c:multiLvlStrCache>
            </c:multiLvlStrRef>
          </c:cat>
          <c:val>
            <c:numRef>
              <c:f>'[3] PSC chart'!$AW$13:$CA$13</c:f>
              <c:numCache>
                <c:ptCount val="31"/>
                <c:pt idx="0">
                  <c:v>4.010736885898614</c:v>
                </c:pt>
                <c:pt idx="1">
                  <c:v>4.637972592747919</c:v>
                </c:pt>
                <c:pt idx="2">
                  <c:v>2.888790849040257</c:v>
                </c:pt>
                <c:pt idx="3">
                  <c:v>3.133528742828151</c:v>
                </c:pt>
                <c:pt idx="4">
                  <c:v>2.4665334093153524</c:v>
                </c:pt>
                <c:pt idx="5">
                  <c:v>0.4752296252192423</c:v>
                </c:pt>
                <c:pt idx="6">
                  <c:v>3.4455170277858604</c:v>
                </c:pt>
                <c:pt idx="7">
                  <c:v>4.892002211756874</c:v>
                </c:pt>
                <c:pt idx="8">
                  <c:v>8.158456531683811</c:v>
                </c:pt>
                <c:pt idx="9">
                  <c:v>10.435665788951031</c:v>
                </c:pt>
                <c:pt idx="10">
                  <c:v>8.935395232768006</c:v>
                </c:pt>
                <c:pt idx="11">
                  <c:v>5.96728355993994</c:v>
                </c:pt>
                <c:pt idx="12">
                  <c:v>8.549355669475833</c:v>
                </c:pt>
                <c:pt idx="13">
                  <c:v>9.211763790716487</c:v>
                </c:pt>
                <c:pt idx="14">
                  <c:v>12.685505172385113</c:v>
                </c:pt>
                <c:pt idx="15">
                  <c:v>11.30934667053014</c:v>
                </c:pt>
                <c:pt idx="16">
                  <c:v>8.100694746885996</c:v>
                </c:pt>
                <c:pt idx="17">
                  <c:v>9.120570936596884</c:v>
                </c:pt>
                <c:pt idx="18">
                  <c:v>3.099499701019215</c:v>
                </c:pt>
                <c:pt idx="19">
                  <c:v>3.949836172091259</c:v>
                </c:pt>
                <c:pt idx="20">
                  <c:v>3.2734437172182496</c:v>
                </c:pt>
                <c:pt idx="21">
                  <c:v>-2.2450419887489637</c:v>
                </c:pt>
                <c:pt idx="22">
                  <c:v>0.13323390624757625</c:v>
                </c:pt>
                <c:pt idx="23">
                  <c:v>6.124282222489841</c:v>
                </c:pt>
                <c:pt idx="24">
                  <c:v>3.1671065674200527</c:v>
                </c:pt>
                <c:pt idx="25">
                  <c:v>-0.3828728691057215</c:v>
                </c:pt>
                <c:pt idx="26">
                  <c:v>-1.3680882478567136</c:v>
                </c:pt>
                <c:pt idx="27">
                  <c:v>0.7653400709628055</c:v>
                </c:pt>
                <c:pt idx="28">
                  <c:v>0.438660235941879</c:v>
                </c:pt>
                <c:pt idx="29">
                  <c:v>-0.26637264761699697</c:v>
                </c:pt>
                <c:pt idx="30">
                  <c:v>4.9380416642357705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'[3]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 PSC chart'!$AW$9:$CA$10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Jul-05</c:v>
                  </c:pt>
                </c:lvl>
              </c:multiLvlStrCache>
            </c:multiLvlStrRef>
          </c:cat>
          <c:val>
            <c:numRef>
              <c:f>'[3] PSC chart'!$AW$14:$CA$14</c:f>
              <c:numCache>
                <c:ptCount val="31"/>
                <c:pt idx="0">
                  <c:v>16.126949169539117</c:v>
                </c:pt>
                <c:pt idx="1">
                  <c:v>14.442133967543992</c:v>
                </c:pt>
                <c:pt idx="2">
                  <c:v>15.800739639166883</c:v>
                </c:pt>
                <c:pt idx="3">
                  <c:v>14.016054744465789</c:v>
                </c:pt>
                <c:pt idx="4">
                  <c:v>12.237700033953057</c:v>
                </c:pt>
                <c:pt idx="5">
                  <c:v>13.58376823554548</c:v>
                </c:pt>
                <c:pt idx="6">
                  <c:v>11.004111075035317</c:v>
                </c:pt>
                <c:pt idx="7">
                  <c:v>11.451903726917866</c:v>
                </c:pt>
                <c:pt idx="8">
                  <c:v>12.251837402835065</c:v>
                </c:pt>
                <c:pt idx="9">
                  <c:v>13.106953403873757</c:v>
                </c:pt>
                <c:pt idx="10">
                  <c:v>14.205098425194018</c:v>
                </c:pt>
                <c:pt idx="11">
                  <c:v>13.57521524566696</c:v>
                </c:pt>
                <c:pt idx="12">
                  <c:v>11.356768676110573</c:v>
                </c:pt>
                <c:pt idx="13">
                  <c:v>11.64327804807117</c:v>
                </c:pt>
                <c:pt idx="14">
                  <c:v>12.181822067431147</c:v>
                </c:pt>
                <c:pt idx="15">
                  <c:v>12.60260991208324</c:v>
                </c:pt>
                <c:pt idx="16">
                  <c:v>11.761168749775951</c:v>
                </c:pt>
                <c:pt idx="17">
                  <c:v>11.16335479915891</c:v>
                </c:pt>
                <c:pt idx="18">
                  <c:v>11.351779594730305</c:v>
                </c:pt>
                <c:pt idx="19">
                  <c:v>11.946437217986915</c:v>
                </c:pt>
                <c:pt idx="20">
                  <c:v>11.918394217995786</c:v>
                </c:pt>
                <c:pt idx="21">
                  <c:v>10.786305030638</c:v>
                </c:pt>
                <c:pt idx="22">
                  <c:v>10.634126212054529</c:v>
                </c:pt>
                <c:pt idx="23">
                  <c:v>13.089264491161412</c:v>
                </c:pt>
                <c:pt idx="24">
                  <c:v>12.448090114387945</c:v>
                </c:pt>
                <c:pt idx="25">
                  <c:v>11.118238806939384</c:v>
                </c:pt>
                <c:pt idx="26">
                  <c:v>10.92349113695883</c:v>
                </c:pt>
                <c:pt idx="27">
                  <c:v>10.62301288304408</c:v>
                </c:pt>
                <c:pt idx="28">
                  <c:v>11.860041875625683</c:v>
                </c:pt>
                <c:pt idx="29">
                  <c:v>10.412023653708037</c:v>
                </c:pt>
                <c:pt idx="30">
                  <c:v>10.531284944704167</c:v>
                </c:pt>
              </c:numCache>
            </c:numRef>
          </c:val>
          <c:smooth val="1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92575"/>
          <c:w val="0.62075"/>
          <c:h val="0.05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175"/>
          <c:w val="0.9705"/>
          <c:h val="0.912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'[4]Data'!$C$213:$C$231</c:f>
              <c:numCache>
                <c:ptCount val="19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  <c:pt idx="17">
                  <c:v>39973</c:v>
                </c:pt>
                <c:pt idx="18">
                  <c:v>40003</c:v>
                </c:pt>
              </c:numCache>
            </c:numRef>
          </c:cat>
          <c:val>
            <c:numRef>
              <c:f>'[4]Data'!$E$213:$E$231</c:f>
              <c:numCache>
                <c:ptCount val="19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'[4]Data'!$C$213:$C$231</c:f>
              <c:numCache>
                <c:ptCount val="19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  <c:pt idx="17">
                  <c:v>39973</c:v>
                </c:pt>
                <c:pt idx="18">
                  <c:v>40003</c:v>
                </c:pt>
              </c:numCache>
            </c:numRef>
          </c:cat>
          <c:val>
            <c:numRef>
              <c:f>'[4]Data'!$J$213:$J$231</c:f>
              <c:numCache>
                <c:ptCount val="19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  <c:pt idx="14">
                  <c:v>7.47</c:v>
                </c:pt>
                <c:pt idx="15">
                  <c:v>6.84</c:v>
                </c:pt>
                <c:pt idx="16">
                  <c:v>6.48</c:v>
                </c:pt>
                <c:pt idx="17">
                  <c:v>5.78</c:v>
                </c:pt>
                <c:pt idx="18">
                  <c:v>5.55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'[4]Data'!$K$5:$K$6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'[4]Data'!$C$213:$C$231</c:f>
              <c:numCache>
                <c:ptCount val="19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  <c:pt idx="17">
                  <c:v>39973</c:v>
                </c:pt>
                <c:pt idx="18">
                  <c:v>40003</c:v>
                </c:pt>
              </c:numCache>
            </c:numRef>
          </c:cat>
          <c:val>
            <c:numRef>
              <c:f>'[4]Data'!$K$213:$K$231</c:f>
              <c:numCache>
                <c:ptCount val="19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  <c:pt idx="14">
                  <c:v>12.55</c:v>
                </c:pt>
                <c:pt idx="15">
                  <c:v>11.35</c:v>
                </c:pt>
                <c:pt idx="16">
                  <c:v>11.19</c:v>
                </c:pt>
                <c:pt idx="17">
                  <c:v>10.21</c:v>
                </c:pt>
                <c:pt idx="18">
                  <c:v>10.35</c:v>
                </c:pt>
              </c:numCache>
            </c:numRef>
          </c:val>
          <c:smooth val="1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21086647"/>
        <c:crossesAt val="0"/>
        <c:auto val="1"/>
        <c:lblOffset val="100"/>
        <c:tickLblSkip val="1"/>
        <c:noMultiLvlLbl val="0"/>
      </c:catAx>
      <c:valAx>
        <c:axId val="21086647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4712582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9365"/>
          <c:w val="0.6452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25"/>
          <c:w val="0.96325"/>
          <c:h val="0.8457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-NCPI'!$E$5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-NCPI'!$B$41:$B$59</c:f>
              <c:numCache>
                <c:ptCount val="19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  <c:pt idx="17">
                  <c:v>39994</c:v>
                </c:pt>
                <c:pt idx="18">
                  <c:v>39995</c:v>
                </c:pt>
              </c:numCache>
            </c:numRef>
          </c:cat>
          <c:val>
            <c:numRef>
              <c:f>'[5]Inflation CPIX -NCPI'!$E$41:$E$59</c:f>
              <c:numCache>
                <c:ptCount val="19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  <c:pt idx="14">
                  <c:v>11.2</c:v>
                </c:pt>
                <c:pt idx="15">
                  <c:v>10</c:v>
                </c:pt>
                <c:pt idx="16">
                  <c:v>9.6</c:v>
                </c:pt>
                <c:pt idx="17">
                  <c:v>9.1</c:v>
                </c:pt>
                <c:pt idx="18">
                  <c:v>7.5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-NCPI'!$D$5</c:f>
              <c:strCache>
                <c:ptCount val="1"/>
                <c:pt idx="0">
                  <c:v>RSA CPI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-NCPI'!$B$41:$B$59</c:f>
              <c:numCache>
                <c:ptCount val="19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  <c:pt idx="17">
                  <c:v>39994</c:v>
                </c:pt>
                <c:pt idx="18">
                  <c:v>39995</c:v>
                </c:pt>
              </c:numCache>
            </c:numRef>
          </c:cat>
          <c:val>
            <c:numRef>
              <c:f>'[5]Inflation CPIX -NCPI'!$D$41:$D$59</c:f>
              <c:numCache>
                <c:ptCount val="19"/>
                <c:pt idx="0">
                  <c:v>9.3</c:v>
                </c:pt>
                <c:pt idx="1">
                  <c:v>9.8</c:v>
                </c:pt>
                <c:pt idx="2">
                  <c:v>10.6</c:v>
                </c:pt>
                <c:pt idx="3">
                  <c:v>11.1</c:v>
                </c:pt>
                <c:pt idx="4">
                  <c:v>11.7</c:v>
                </c:pt>
                <c:pt idx="5">
                  <c:v>12.2</c:v>
                </c:pt>
                <c:pt idx="6">
                  <c:v>13.4</c:v>
                </c:pt>
                <c:pt idx="7">
                  <c:v>13.7</c:v>
                </c:pt>
                <c:pt idx="8">
                  <c:v>13.1</c:v>
                </c:pt>
                <c:pt idx="9">
                  <c:v>12.1</c:v>
                </c:pt>
                <c:pt idx="10">
                  <c:v>11.8</c:v>
                </c:pt>
                <c:pt idx="11">
                  <c:v>9.5</c:v>
                </c:pt>
                <c:pt idx="12">
                  <c:v>8.1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6.9</c:v>
                </c:pt>
                <c:pt idx="18">
                  <c:v>6.7</c:v>
                </c:pt>
              </c:numCache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0296817"/>
        <c:crosses val="autoZero"/>
        <c:auto val="0"/>
        <c:lblOffset val="100"/>
        <c:tickLblSkip val="1"/>
        <c:noMultiLvlLbl val="0"/>
      </c:catAx>
      <c:valAx>
        <c:axId val="30296817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5556209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25"/>
          <c:y val="0.9255"/>
          <c:w val="0.298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125"/>
          <c:w val="0.94475"/>
          <c:h val="0.834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'[6]Monthly indices'!$B$147:$B$165</c:f>
              <c:numCache>
                <c:ptCount val="19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</c:numCache>
            </c:numRef>
          </c:cat>
          <c:val>
            <c:numRef>
              <c:f>'[6]Monthly indices'!$C$147:$C$165</c:f>
              <c:numCache>
                <c:ptCount val="19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  <c:pt idx="15">
                  <c:v>478.83</c:v>
                </c:pt>
                <c:pt idx="16">
                  <c:v>588.59</c:v>
                </c:pt>
                <c:pt idx="17">
                  <c:v>593.91</c:v>
                </c:pt>
                <c:pt idx="18">
                  <c:v>653.54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235898"/>
        <c:axId val="38123083"/>
      </c:lineChart>
      <c:lineChart>
        <c:grouping val="standard"/>
        <c:varyColors val="0"/>
        <c:ser>
          <c:idx val="1"/>
          <c:order val="1"/>
          <c:tx>
            <c:strRef>
              <c:f>'[6]Monthly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'[6]Monthly indices'!$B$147:$B$164</c:f>
              <c:numCache>
                <c:ptCount val="18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</c:numCache>
            </c:numRef>
          </c:cat>
          <c:val>
            <c:numRef>
              <c:f>'[6]Monthly indices'!$D$147:$D$165</c:f>
              <c:numCache>
                <c:ptCount val="19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  <c:pt idx="15">
                  <c:v>159.37</c:v>
                </c:pt>
                <c:pt idx="16">
                  <c:v>159.16</c:v>
                </c:pt>
                <c:pt idx="17">
                  <c:v>159.52</c:v>
                </c:pt>
                <c:pt idx="18">
                  <c:v>154.42</c:v>
                </c:pt>
              </c:numCache>
            </c:numRef>
          </c:val>
          <c:smooth val="1"/>
        </c:ser>
        <c:marker val="1"/>
        <c:axId val="7563428"/>
        <c:axId val="961989"/>
      </c:lineChart>
      <c:dateAx>
        <c:axId val="4235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38123083"/>
        <c:crosses val="autoZero"/>
        <c:auto val="0"/>
        <c:noMultiLvlLbl val="0"/>
      </c:dateAx>
      <c:valAx>
        <c:axId val="38123083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235898"/>
        <c:crossesAt val="1"/>
        <c:crossBetween val="between"/>
        <c:dispUnits/>
        <c:majorUnit val="50"/>
        <c:minorUnit val="10"/>
      </c:valAx>
      <c:dateAx>
        <c:axId val="7563428"/>
        <c:scaling>
          <c:orientation val="minMax"/>
        </c:scaling>
        <c:axPos val="b"/>
        <c:delete val="1"/>
        <c:majorTickMark val="out"/>
        <c:minorTickMark val="none"/>
        <c:tickLblPos val="nextTo"/>
        <c:crossAx val="961989"/>
        <c:crosses val="autoZero"/>
        <c:auto val="0"/>
        <c:noMultiLvlLbl val="0"/>
      </c:dateAx>
      <c:valAx>
        <c:axId val="961989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756342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"/>
          <c:y val="0.9385"/>
          <c:w val="0.537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075"/>
          <c:w val="0.953"/>
          <c:h val="0.911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'S6'!$BO$4:$CB$4</c:f>
              <c:strCache>
                <c:ptCount val="7"/>
                <c:pt idx="0">
                  <c:v>39844</c:v>
                </c:pt>
                <c:pt idx="1">
                  <c:v>39872</c:v>
                </c:pt>
                <c:pt idx="2">
                  <c:v>39903</c:v>
                </c:pt>
                <c:pt idx="3">
                  <c:v>39933</c:v>
                </c:pt>
                <c:pt idx="4">
                  <c:v>39964</c:v>
                </c:pt>
                <c:pt idx="5">
                  <c:v>39994</c:v>
                </c:pt>
                <c:pt idx="6">
                  <c:v>40025</c:v>
                </c:pt>
              </c:strCache>
            </c:strRef>
          </c:cat>
          <c:val>
            <c:numRef>
              <c:f>'S6'!$BO$13:$CB$13</c:f>
              <c:numCache>
                <c:ptCount val="7"/>
                <c:pt idx="0">
                  <c:v>0.1010407194099222</c:v>
                </c:pt>
                <c:pt idx="1">
                  <c:v>0.09994003597841294</c:v>
                </c:pt>
                <c:pt idx="2">
                  <c:v>0.1000680462714646</c:v>
                </c:pt>
                <c:pt idx="3">
                  <c:v>0.11088933244621867</c:v>
                </c:pt>
                <c:pt idx="4">
                  <c:v>0.11944149158534693</c:v>
                </c:pt>
                <c:pt idx="5">
                  <c:v>0.12419583198787848</c:v>
                </c:pt>
                <c:pt idx="6">
                  <c:v>0.12576559807830168</c:v>
                </c:pt>
              </c:numCache>
            </c:numRef>
          </c:val>
          <c:smooth val="1"/>
        </c:ser>
        <c:marker val="1"/>
        <c:axId val="8657902"/>
        <c:axId val="10812255"/>
      </c:lineChart>
      <c:dateAx>
        <c:axId val="86579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10812255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812255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747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chart'!$BP$2:$CB$2</c:f>
              <c:numCache>
                <c:ptCount val="13"/>
                <c:pt idx="0">
                  <c:v>39629</c:v>
                </c:pt>
                <c:pt idx="1">
                  <c:v>39660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</c:numCache>
            </c:numRef>
          </c:cat>
          <c:val>
            <c:numRef>
              <c:f>'[2]Int reser chart'!$BP$3:$CB$3</c:f>
              <c:numCache>
                <c:ptCount val="13"/>
                <c:pt idx="0">
                  <c:v>9697.814715469998</c:v>
                </c:pt>
                <c:pt idx="1">
                  <c:v>11758.2039831</c:v>
                </c:pt>
                <c:pt idx="2">
                  <c:v>10730.849802119998</c:v>
                </c:pt>
                <c:pt idx="3">
                  <c:v>10942.098551590001</c:v>
                </c:pt>
                <c:pt idx="4">
                  <c:v>13805.317071959998</c:v>
                </c:pt>
                <c:pt idx="5">
                  <c:v>12725.77199603</c:v>
                </c:pt>
                <c:pt idx="6">
                  <c:v>12857.52677013</c:v>
                </c:pt>
                <c:pt idx="7">
                  <c:v>14460.5</c:v>
                </c:pt>
                <c:pt idx="8">
                  <c:v>13779</c:v>
                </c:pt>
                <c:pt idx="9">
                  <c:v>14136.3</c:v>
                </c:pt>
                <c:pt idx="10">
                  <c:v>14561.206</c:v>
                </c:pt>
                <c:pt idx="11">
                  <c:v>14205.63</c:v>
                </c:pt>
                <c:pt idx="12">
                  <c:v>13206.787</c:v>
                </c:pt>
              </c:numCache>
            </c:numRef>
          </c:val>
        </c:ser>
        <c:axId val="30201432"/>
        <c:axId val="3377433"/>
      </c:barChart>
      <c:catAx>
        <c:axId val="30201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Millions of Namibia Dollars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66675</xdr:rowOff>
    </xdr:from>
    <xdr:to>
      <xdr:col>14</xdr:col>
      <xdr:colOff>533400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90550" y="800100"/>
        <a:ext cx="86106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28</xdr:row>
      <xdr:rowOff>19050</xdr:rowOff>
    </xdr:from>
    <xdr:to>
      <xdr:col>15</xdr:col>
      <xdr:colOff>266700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523875" y="5343525"/>
        <a:ext cx="90297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257175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609600" y="466725"/>
        <a:ext cx="63531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35</xdr:row>
      <xdr:rowOff>142875</xdr:rowOff>
    </xdr:from>
    <xdr:to>
      <xdr:col>12</xdr:col>
      <xdr:colOff>171450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504825" y="5476875"/>
        <a:ext cx="6981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15</xdr:col>
      <xdr:colOff>0</xdr:colOff>
      <xdr:row>23</xdr:row>
      <xdr:rowOff>161925</xdr:rowOff>
    </xdr:to>
    <xdr:graphicFrame>
      <xdr:nvGraphicFramePr>
        <xdr:cNvPr id="1" name="Chart 8"/>
        <xdr:cNvGraphicFramePr/>
      </xdr:nvGraphicFramePr>
      <xdr:xfrm>
        <a:off x="228600" y="866775"/>
        <a:ext cx="8534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16</xdr:col>
      <xdr:colOff>0</xdr:colOff>
      <xdr:row>102</xdr:row>
      <xdr:rowOff>133350</xdr:rowOff>
    </xdr:to>
    <xdr:graphicFrame>
      <xdr:nvGraphicFramePr>
        <xdr:cNvPr id="2" name="Chart 1"/>
        <xdr:cNvGraphicFramePr/>
      </xdr:nvGraphicFramePr>
      <xdr:xfrm>
        <a:off x="228600" y="13268325"/>
        <a:ext cx="91440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542925</xdr:colOff>
      <xdr:row>62</xdr:row>
      <xdr:rowOff>47625</xdr:rowOff>
    </xdr:to>
    <xdr:graphicFrame>
      <xdr:nvGraphicFramePr>
        <xdr:cNvPr id="3" name="Chart 4"/>
        <xdr:cNvGraphicFramePr/>
      </xdr:nvGraphicFramePr>
      <xdr:xfrm>
        <a:off x="228600" y="6715125"/>
        <a:ext cx="9077325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47</xdr:row>
      <xdr:rowOff>104775</xdr:rowOff>
    </xdr:from>
    <xdr:to>
      <xdr:col>17</xdr:col>
      <xdr:colOff>514350</xdr:colOff>
      <xdr:row>75</xdr:row>
      <xdr:rowOff>0</xdr:rowOff>
    </xdr:to>
    <xdr:graphicFrame>
      <xdr:nvGraphicFramePr>
        <xdr:cNvPr id="1" name="Chart 9"/>
        <xdr:cNvGraphicFramePr/>
      </xdr:nvGraphicFramePr>
      <xdr:xfrm>
        <a:off x="457200" y="7905750"/>
        <a:ext cx="103917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</xdr:row>
      <xdr:rowOff>104775</xdr:rowOff>
    </xdr:from>
    <xdr:to>
      <xdr:col>16</xdr:col>
      <xdr:colOff>333375</xdr:colOff>
      <xdr:row>31</xdr:row>
      <xdr:rowOff>152400</xdr:rowOff>
    </xdr:to>
    <xdr:graphicFrame>
      <xdr:nvGraphicFramePr>
        <xdr:cNvPr id="2" name="Chart 1"/>
        <xdr:cNvGraphicFramePr/>
      </xdr:nvGraphicFramePr>
      <xdr:xfrm>
        <a:off x="219075" y="1009650"/>
        <a:ext cx="98393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8">
        <row r="2"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  <cell r="CB2">
            <v>39994</v>
          </cell>
        </row>
        <row r="3"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  <cell r="BY3">
            <v>14136.3</v>
          </cell>
          <cell r="BZ3">
            <v>14561.206</v>
          </cell>
          <cell r="CA3">
            <v>14205.63</v>
          </cell>
          <cell r="CB3">
            <v>13206.787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2"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  <cell r="BX2">
            <v>39903</v>
          </cell>
          <cell r="BY2">
            <v>39933</v>
          </cell>
          <cell r="BZ2">
            <v>39964</v>
          </cell>
          <cell r="CA2">
            <v>39994</v>
          </cell>
          <cell r="CB2">
            <v>40025</v>
          </cell>
        </row>
        <row r="6">
          <cell r="AQ6" t="str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Q7" t="str">
            <v>J</v>
          </cell>
          <cell r="AR7" t="str">
            <v>J</v>
          </cell>
          <cell r="AS7" t="str">
            <v>A</v>
          </cell>
          <cell r="AT7" t="str">
            <v>S</v>
          </cell>
          <cell r="AU7" t="str">
            <v>O</v>
          </cell>
          <cell r="AV7" t="str">
            <v>N</v>
          </cell>
          <cell r="AW7" t="str">
            <v>D</v>
          </cell>
          <cell r="AX7" t="str">
            <v>J</v>
          </cell>
          <cell r="AY7" t="str">
            <v>F</v>
          </cell>
          <cell r="AZ7" t="str">
            <v>M</v>
          </cell>
          <cell r="BA7" t="str">
            <v>A</v>
          </cell>
          <cell r="BB7" t="str">
            <v>M</v>
          </cell>
          <cell r="BC7" t="str">
            <v>J</v>
          </cell>
          <cell r="BD7" t="str">
            <v>J</v>
          </cell>
          <cell r="BE7" t="str">
            <v>A</v>
          </cell>
          <cell r="BF7" t="str">
            <v>S</v>
          </cell>
          <cell r="BG7" t="str">
            <v>O</v>
          </cell>
          <cell r="BH7" t="str">
            <v>N</v>
          </cell>
          <cell r="BI7" t="str">
            <v>D</v>
          </cell>
          <cell r="BJ7" t="str">
            <v>J</v>
          </cell>
          <cell r="BK7" t="str">
            <v>F</v>
          </cell>
          <cell r="BL7" t="str">
            <v>M</v>
          </cell>
          <cell r="BM7" t="str">
            <v>A</v>
          </cell>
          <cell r="BN7" t="str">
            <v>M</v>
          </cell>
          <cell r="BO7" t="str">
            <v>J</v>
          </cell>
          <cell r="BP7" t="str">
            <v>J</v>
          </cell>
          <cell r="BQ7" t="str">
            <v>A</v>
          </cell>
          <cell r="BR7" t="str">
            <v>S</v>
          </cell>
          <cell r="BS7" t="str">
            <v>O</v>
          </cell>
          <cell r="BT7" t="str">
            <v>N</v>
          </cell>
          <cell r="BU7" t="str">
            <v>D</v>
          </cell>
          <cell r="BV7" t="str">
            <v>J</v>
          </cell>
          <cell r="BW7" t="str">
            <v>F</v>
          </cell>
          <cell r="BX7" t="str">
            <v>M</v>
          </cell>
          <cell r="BY7" t="str">
            <v>A</v>
          </cell>
          <cell r="BZ7" t="str">
            <v>M</v>
          </cell>
          <cell r="CA7" t="str">
            <v>J</v>
          </cell>
          <cell r="CB7" t="str">
            <v>J</v>
          </cell>
        </row>
        <row r="8"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-1.8560209262167098</v>
          </cell>
          <cell r="BX8">
            <v>2.362310902846023</v>
          </cell>
          <cell r="BY8">
            <v>0.33048290481578424</v>
          </cell>
          <cell r="BZ8">
            <v>-0.1535163840744783</v>
          </cell>
          <cell r="CA8">
            <v>0.7490829522710742</v>
          </cell>
          <cell r="CB8">
            <v>0.5123331467286828</v>
          </cell>
        </row>
        <row r="9"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-0.2386392931238921</v>
          </cell>
          <cell r="BX9">
            <v>4.665005161830773</v>
          </cell>
          <cell r="BY9">
            <v>-0.4037910053578945</v>
          </cell>
          <cell r="BZ9">
            <v>0.9557588839413594</v>
          </cell>
          <cell r="CA9">
            <v>1.574679474620835</v>
          </cell>
          <cell r="CB9">
            <v>0.23264894888266516</v>
          </cell>
        </row>
        <row r="10">
          <cell r="A10" t="str">
            <v>M2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5.857079235067664</v>
          </cell>
          <cell r="BX10">
            <v>11.10712543850818</v>
          </cell>
          <cell r="BY10">
            <v>8.438914311556879</v>
          </cell>
          <cell r="BZ10">
            <v>8.318047713934407</v>
          </cell>
          <cell r="CA10">
            <v>8.234038185496484</v>
          </cell>
          <cell r="CB10">
            <v>2.3145794692301047</v>
          </cell>
        </row>
        <row r="11">
          <cell r="A11" t="str">
            <v>M1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7.937305685732587</v>
          </cell>
          <cell r="BX11">
            <v>14.521446310902263</v>
          </cell>
          <cell r="BY11">
            <v>11.701815340616184</v>
          </cell>
          <cell r="BZ11">
            <v>14.556609714878777</v>
          </cell>
          <cell r="CA11">
            <v>10.947622440340687</v>
          </cell>
          <cell r="CB11">
            <v>2.8839727506301482</v>
          </cell>
        </row>
      </sheetData>
      <sheetData sheetId="9">
        <row r="2"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  <cell r="CB2">
            <v>39994</v>
          </cell>
          <cell r="CC2">
            <v>40025</v>
          </cell>
        </row>
        <row r="9">
          <cell r="AW9">
            <v>2007</v>
          </cell>
          <cell r="BI9">
            <v>2008</v>
          </cell>
          <cell r="BU9">
            <v>2009</v>
          </cell>
        </row>
        <row r="10">
          <cell r="AW10" t="str">
            <v>J</v>
          </cell>
          <cell r="AX10" t="str">
            <v>F</v>
          </cell>
          <cell r="AY10" t="str">
            <v>M</v>
          </cell>
          <cell r="AZ10" t="str">
            <v>A</v>
          </cell>
          <cell r="BA10" t="str">
            <v>M</v>
          </cell>
          <cell r="BB10" t="str">
            <v>J</v>
          </cell>
          <cell r="BC10" t="str">
            <v>J</v>
          </cell>
          <cell r="BD10" t="str">
            <v>A</v>
          </cell>
          <cell r="BE10" t="str">
            <v>S</v>
          </cell>
          <cell r="BF10" t="str">
            <v>O</v>
          </cell>
          <cell r="BG10" t="str">
            <v>N</v>
          </cell>
          <cell r="BH10" t="str">
            <v>D</v>
          </cell>
          <cell r="BI10" t="str">
            <v>J</v>
          </cell>
          <cell r="BJ10" t="str">
            <v>F</v>
          </cell>
          <cell r="BK10" t="str">
            <v>M</v>
          </cell>
          <cell r="BL10" t="str">
            <v>A</v>
          </cell>
          <cell r="BM10" t="str">
            <v>M</v>
          </cell>
          <cell r="BN10" t="str">
            <v>J</v>
          </cell>
          <cell r="BO10" t="str">
            <v>J</v>
          </cell>
          <cell r="BP10" t="str">
            <v>A</v>
          </cell>
          <cell r="BQ10" t="str">
            <v>S</v>
          </cell>
          <cell r="BR10" t="str">
            <v>O</v>
          </cell>
          <cell r="BS10" t="str">
            <v>N</v>
          </cell>
          <cell r="BT10" t="str">
            <v>D</v>
          </cell>
          <cell r="BU10" t="str">
            <v>J</v>
          </cell>
          <cell r="BV10" t="str">
            <v>F</v>
          </cell>
          <cell r="BW10" t="str">
            <v>M</v>
          </cell>
          <cell r="BX10" t="str">
            <v>A</v>
          </cell>
          <cell r="BY10" t="str">
            <v>M</v>
          </cell>
          <cell r="BZ10" t="str">
            <v>J</v>
          </cell>
          <cell r="CA10" t="str">
            <v>J</v>
          </cell>
        </row>
        <row r="11">
          <cell r="B11" t="str">
            <v>Domestic claims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0.5183161691678748</v>
          </cell>
          <cell r="BW11">
            <v>1.0303456542335603</v>
          </cell>
          <cell r="BX11">
            <v>-1.6156167980054699</v>
          </cell>
          <cell r="BY11">
            <v>0.3838546124144301</v>
          </cell>
          <cell r="BZ11">
            <v>0.8993191183882062</v>
          </cell>
          <cell r="CA11">
            <v>0.5892447318595073</v>
          </cell>
        </row>
        <row r="12">
          <cell r="B12" t="str">
            <v>Other sectors claims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0.5596586251791982</v>
          </cell>
          <cell r="BW12">
            <v>1.1131584642264734</v>
          </cell>
          <cell r="BX12">
            <v>0.5351732950244615</v>
          </cell>
          <cell r="BY12">
            <v>0.5021697823329414</v>
          </cell>
          <cell r="BZ12">
            <v>-0.12159019420876481</v>
          </cell>
          <cell r="CA12">
            <v>0.7972370599840594</v>
          </cell>
        </row>
        <row r="13"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-0.3828728691057215</v>
          </cell>
          <cell r="BW13">
            <v>-1.3680882478567136</v>
          </cell>
          <cell r="BX13">
            <v>0.7653400709628055</v>
          </cell>
          <cell r="BY13">
            <v>0.438660235941879</v>
          </cell>
          <cell r="BZ13">
            <v>-0.26637264761699697</v>
          </cell>
          <cell r="CA13">
            <v>4.9380416642357705</v>
          </cell>
        </row>
        <row r="14"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11.118238806939384</v>
          </cell>
          <cell r="BW14">
            <v>10.92349113695883</v>
          </cell>
          <cell r="BX14">
            <v>10.62301288304408</v>
          </cell>
          <cell r="BY14">
            <v>11.860041875625683</v>
          </cell>
          <cell r="BZ14">
            <v>10.412023653708037</v>
          </cell>
          <cell r="CA14">
            <v>10.531284944704167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  <row r="227">
          <cell r="C227">
            <v>39878</v>
          </cell>
          <cell r="E227">
            <v>9</v>
          </cell>
          <cell r="J227">
            <v>7.47</v>
          </cell>
          <cell r="K227">
            <v>12.55</v>
          </cell>
        </row>
        <row r="228">
          <cell r="C228">
            <v>39910</v>
          </cell>
          <cell r="E228">
            <v>8</v>
          </cell>
          <cell r="J228">
            <v>6.84</v>
          </cell>
          <cell r="K228">
            <v>11.35</v>
          </cell>
        </row>
        <row r="229">
          <cell r="C229">
            <v>39942</v>
          </cell>
          <cell r="E229">
            <v>7.5</v>
          </cell>
          <cell r="J229">
            <v>6.48</v>
          </cell>
          <cell r="K229">
            <v>11.19</v>
          </cell>
        </row>
        <row r="230">
          <cell r="C230">
            <v>39973</v>
          </cell>
          <cell r="E230">
            <v>7</v>
          </cell>
          <cell r="J230">
            <v>5.78</v>
          </cell>
          <cell r="K230">
            <v>10.21</v>
          </cell>
        </row>
        <row r="231">
          <cell r="C231">
            <v>40003</v>
          </cell>
          <cell r="E231">
            <v>7</v>
          </cell>
          <cell r="J231">
            <v>5.55</v>
          </cell>
          <cell r="K231">
            <v>10.35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D5" t="str">
            <v>RSA CPI</v>
          </cell>
          <cell r="E5" t="str">
            <v>NCPI</v>
          </cell>
        </row>
        <row r="41">
          <cell r="B41">
            <v>39458</v>
          </cell>
          <cell r="D41">
            <v>9.3</v>
          </cell>
          <cell r="E41">
            <v>7.8</v>
          </cell>
        </row>
        <row r="42">
          <cell r="B42">
            <v>39490</v>
          </cell>
          <cell r="D42">
            <v>9.8</v>
          </cell>
          <cell r="E42">
            <v>7.9</v>
          </cell>
        </row>
        <row r="43">
          <cell r="B43">
            <v>39520</v>
          </cell>
          <cell r="D43">
            <v>10.6</v>
          </cell>
          <cell r="E43">
            <v>8.4</v>
          </cell>
        </row>
        <row r="44">
          <cell r="B44">
            <v>39552</v>
          </cell>
          <cell r="D44">
            <v>11.1</v>
          </cell>
          <cell r="E44">
            <v>9.3</v>
          </cell>
        </row>
        <row r="45">
          <cell r="B45">
            <v>39583</v>
          </cell>
          <cell r="D45">
            <v>11.7</v>
          </cell>
          <cell r="E45">
            <v>9.7</v>
          </cell>
        </row>
        <row r="46">
          <cell r="B46">
            <v>39615</v>
          </cell>
          <cell r="D46">
            <v>12.2</v>
          </cell>
          <cell r="E46">
            <v>10.3</v>
          </cell>
        </row>
        <row r="47">
          <cell r="B47">
            <v>39646</v>
          </cell>
          <cell r="D47">
            <v>13.4</v>
          </cell>
          <cell r="E47">
            <v>11.9</v>
          </cell>
        </row>
        <row r="48">
          <cell r="B48">
            <v>39678</v>
          </cell>
          <cell r="D48">
            <v>13.7</v>
          </cell>
          <cell r="E48">
            <v>12</v>
          </cell>
        </row>
        <row r="49">
          <cell r="B49">
            <v>39710</v>
          </cell>
          <cell r="D49">
            <v>13.1</v>
          </cell>
          <cell r="E49">
            <v>12</v>
          </cell>
        </row>
        <row r="50">
          <cell r="B50">
            <v>39741</v>
          </cell>
          <cell r="D50">
            <v>12.1</v>
          </cell>
          <cell r="E50">
            <v>12</v>
          </cell>
        </row>
        <row r="51">
          <cell r="B51">
            <v>39773</v>
          </cell>
          <cell r="D51">
            <v>11.8</v>
          </cell>
          <cell r="E51">
            <v>11.7</v>
          </cell>
        </row>
        <row r="52">
          <cell r="B52">
            <v>39804</v>
          </cell>
          <cell r="D52">
            <v>9.5</v>
          </cell>
          <cell r="E52">
            <v>10.9</v>
          </cell>
        </row>
        <row r="53">
          <cell r="B53">
            <v>39836</v>
          </cell>
          <cell r="D53">
            <v>8.1</v>
          </cell>
          <cell r="E53">
            <v>11.6</v>
          </cell>
        </row>
        <row r="54">
          <cell r="B54">
            <v>39868</v>
          </cell>
          <cell r="D54">
            <v>8.6</v>
          </cell>
          <cell r="E54">
            <v>11.6</v>
          </cell>
        </row>
        <row r="55">
          <cell r="B55">
            <v>39900</v>
          </cell>
          <cell r="D55">
            <v>8.5</v>
          </cell>
          <cell r="E55">
            <v>11.2</v>
          </cell>
        </row>
        <row r="56">
          <cell r="B56">
            <v>39932</v>
          </cell>
          <cell r="D56">
            <v>8.4</v>
          </cell>
          <cell r="E56">
            <v>10</v>
          </cell>
        </row>
        <row r="57">
          <cell r="B57">
            <v>39963</v>
          </cell>
          <cell r="D57">
            <v>8</v>
          </cell>
          <cell r="E57">
            <v>9.6</v>
          </cell>
        </row>
        <row r="58">
          <cell r="B58">
            <v>39994</v>
          </cell>
          <cell r="D58">
            <v>6.9</v>
          </cell>
          <cell r="E58">
            <v>9.1</v>
          </cell>
        </row>
        <row r="59">
          <cell r="B59">
            <v>39995</v>
          </cell>
          <cell r="D59">
            <v>6.7</v>
          </cell>
          <cell r="E59">
            <v>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  <row r="162">
          <cell r="B162">
            <v>39933</v>
          </cell>
          <cell r="C162">
            <v>478.83</v>
          </cell>
          <cell r="D162">
            <v>159.37</v>
          </cell>
        </row>
        <row r="163">
          <cell r="B163">
            <v>39964</v>
          </cell>
          <cell r="C163">
            <v>588.59</v>
          </cell>
          <cell r="D163">
            <v>159.16</v>
          </cell>
        </row>
        <row r="164">
          <cell r="B164">
            <v>39994</v>
          </cell>
          <cell r="C164">
            <v>593.91</v>
          </cell>
          <cell r="D164">
            <v>159.52</v>
          </cell>
        </row>
        <row r="165">
          <cell r="B165">
            <v>40025</v>
          </cell>
          <cell r="C165">
            <v>653.54</v>
          </cell>
          <cell r="D165">
            <v>154.42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102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99"/>
    </row>
    <row r="11" ht="40.5">
      <c r="A11" s="27"/>
    </row>
    <row r="12" ht="40.5">
      <c r="A12" s="27"/>
    </row>
    <row r="13" ht="40.5">
      <c r="A13" s="27" t="s">
        <v>46</v>
      </c>
    </row>
    <row r="14" ht="40.5">
      <c r="A14" s="27"/>
    </row>
    <row r="15" ht="40.5">
      <c r="A15" s="27" t="s">
        <v>47</v>
      </c>
    </row>
    <row r="16" ht="40.5">
      <c r="A16" s="27"/>
    </row>
    <row r="17" ht="40.5">
      <c r="A17" s="27" t="s">
        <v>48</v>
      </c>
    </row>
    <row r="18" ht="40.5">
      <c r="A18" s="27"/>
    </row>
    <row r="19" ht="40.5">
      <c r="A19" s="29">
        <v>39992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33">
      <selection activeCell="B1" sqref="B1:K59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94" t="s">
        <v>77</v>
      </c>
      <c r="C2" s="295"/>
      <c r="D2" s="295"/>
      <c r="E2" s="295"/>
      <c r="F2" s="295"/>
      <c r="G2" s="295"/>
      <c r="H2" s="295"/>
      <c r="I2" s="295"/>
      <c r="J2" s="295"/>
      <c r="K2" s="296"/>
    </row>
    <row r="3" spans="2:11" ht="11.25">
      <c r="B3" s="300" t="s">
        <v>120</v>
      </c>
      <c r="C3" s="301"/>
      <c r="D3" s="301"/>
      <c r="E3" s="301"/>
      <c r="F3" s="301"/>
      <c r="G3" s="301"/>
      <c r="H3" s="301"/>
      <c r="I3" s="301"/>
      <c r="J3" s="301"/>
      <c r="K3" s="302"/>
    </row>
    <row r="4" spans="2:11" ht="11.25">
      <c r="B4" s="108"/>
      <c r="C4" s="22"/>
      <c r="D4" s="22"/>
      <c r="E4" s="22"/>
      <c r="F4" s="290" t="s">
        <v>111</v>
      </c>
      <c r="G4" s="297"/>
      <c r="H4" s="175" t="s">
        <v>132</v>
      </c>
      <c r="I4" s="290" t="s">
        <v>133</v>
      </c>
      <c r="J4" s="298"/>
      <c r="K4" s="299"/>
    </row>
    <row r="5" spans="2:11" ht="11.25">
      <c r="B5" s="109"/>
      <c r="C5" s="12">
        <v>39630</v>
      </c>
      <c r="D5" s="12">
        <v>39990</v>
      </c>
      <c r="E5" s="12">
        <v>40020</v>
      </c>
      <c r="F5" s="12" t="s">
        <v>166</v>
      </c>
      <c r="G5" s="97" t="s">
        <v>167</v>
      </c>
      <c r="H5" s="97" t="s">
        <v>166</v>
      </c>
      <c r="I5" s="12">
        <v>39934</v>
      </c>
      <c r="J5" s="12">
        <v>39965</v>
      </c>
      <c r="K5" s="12">
        <v>39995</v>
      </c>
    </row>
    <row r="6" spans="2:11" ht="11.25">
      <c r="B6" s="110"/>
      <c r="C6" s="186"/>
      <c r="D6" s="186"/>
      <c r="E6" s="186"/>
      <c r="F6" s="187"/>
      <c r="G6" s="187"/>
      <c r="H6" s="187"/>
      <c r="I6" s="183"/>
      <c r="J6" s="183"/>
      <c r="K6" s="222"/>
    </row>
    <row r="7" spans="2:14" ht="11.25">
      <c r="B7" s="111" t="s">
        <v>1</v>
      </c>
      <c r="C7" s="181">
        <v>14588.045237542261</v>
      </c>
      <c r="D7" s="181">
        <v>15814.904826231972</v>
      </c>
      <c r="E7" s="181">
        <v>15975.293342059122</v>
      </c>
      <c r="F7" s="181">
        <v>160.3885158271496</v>
      </c>
      <c r="G7" s="181">
        <v>1387.2481045168606</v>
      </c>
      <c r="H7" s="181">
        <v>1.0141604871444772</v>
      </c>
      <c r="I7" s="181">
        <v>34.23575935159657</v>
      </c>
      <c r="J7" s="181">
        <v>40.516847299031426</v>
      </c>
      <c r="K7" s="223">
        <v>9.509485897032889</v>
      </c>
      <c r="L7" s="54"/>
      <c r="N7" s="54"/>
    </row>
    <row r="8" spans="2:12" ht="11.25">
      <c r="B8" s="111" t="s">
        <v>74</v>
      </c>
      <c r="C8" s="181">
        <v>28993.97474759042</v>
      </c>
      <c r="D8" s="181">
        <v>30247.477632275866</v>
      </c>
      <c r="E8" s="181">
        <v>30425.709300744435</v>
      </c>
      <c r="F8" s="189">
        <v>178.2316684685684</v>
      </c>
      <c r="G8" s="189">
        <v>1431.7345531540159</v>
      </c>
      <c r="H8" s="181">
        <v>0.5892447318595073</v>
      </c>
      <c r="I8" s="181">
        <v>0.438660235941879</v>
      </c>
      <c r="J8" s="181">
        <v>-0.26637264761699697</v>
      </c>
      <c r="K8" s="223">
        <v>4.9380416642357705</v>
      </c>
      <c r="L8" s="54"/>
    </row>
    <row r="9" spans="2:12" ht="11.25">
      <c r="B9" s="113" t="s">
        <v>144</v>
      </c>
      <c r="C9" s="182">
        <v>-5687.3655319095815</v>
      </c>
      <c r="D9" s="182">
        <v>-7592.821319030041</v>
      </c>
      <c r="E9" s="182">
        <v>-7737.996001060041</v>
      </c>
      <c r="F9" s="185">
        <v>-145.17468202999953</v>
      </c>
      <c r="G9" s="185">
        <v>-2050.6304691504592</v>
      </c>
      <c r="H9" s="182">
        <v>1.9119991888409822</v>
      </c>
      <c r="I9" s="182">
        <v>91.9718313659418</v>
      </c>
      <c r="J9" s="182">
        <v>82.83175500950004</v>
      </c>
      <c r="K9" s="224">
        <v>36.05589367599418</v>
      </c>
      <c r="L9" s="54"/>
    </row>
    <row r="10" spans="2:12" ht="11.25">
      <c r="B10" s="113" t="s">
        <v>141</v>
      </c>
      <c r="C10" s="182">
        <v>34681.3402795</v>
      </c>
      <c r="D10" s="182">
        <v>37840.29895130591</v>
      </c>
      <c r="E10" s="182">
        <v>38163.705301804475</v>
      </c>
      <c r="F10" s="185">
        <v>323.4063504985679</v>
      </c>
      <c r="G10" s="185">
        <v>3482.365022304475</v>
      </c>
      <c r="H10" s="182">
        <v>0.8546611931230708</v>
      </c>
      <c r="I10" s="182">
        <v>11.43707953484574</v>
      </c>
      <c r="J10" s="182">
        <v>9.741940024485164</v>
      </c>
      <c r="K10" s="224">
        <v>10.041033576672032</v>
      </c>
      <c r="L10" s="54"/>
    </row>
    <row r="11" spans="2:12" ht="11.25">
      <c r="B11" s="114" t="s">
        <v>49</v>
      </c>
      <c r="C11" s="182">
        <v>2888.69000524</v>
      </c>
      <c r="D11" s="182">
        <v>2910.350733605902</v>
      </c>
      <c r="E11" s="182">
        <v>2966.7304429214764</v>
      </c>
      <c r="F11" s="185">
        <v>56.37970931557447</v>
      </c>
      <c r="G11" s="185">
        <v>78.0404376814763</v>
      </c>
      <c r="H11" s="182">
        <v>1.9372135689542977</v>
      </c>
      <c r="I11" s="182">
        <v>4.246291840985683</v>
      </c>
      <c r="J11" s="182">
        <v>-0.14714665099435642</v>
      </c>
      <c r="K11" s="224">
        <v>2.701585754785496</v>
      </c>
      <c r="L11" s="54"/>
    </row>
    <row r="12" spans="2:12" ht="11.25">
      <c r="B12" s="114" t="s">
        <v>142</v>
      </c>
      <c r="C12" s="182">
        <v>28.71355289</v>
      </c>
      <c r="D12" s="182">
        <v>93.17462861</v>
      </c>
      <c r="E12" s="182">
        <v>82.51245173000001</v>
      </c>
      <c r="F12" s="185">
        <v>-10.66217687999999</v>
      </c>
      <c r="G12" s="185">
        <v>53.79889884000001</v>
      </c>
      <c r="H12" s="182">
        <v>-11.443219081267868</v>
      </c>
      <c r="I12" s="182">
        <v>288.96618301020885</v>
      </c>
      <c r="J12" s="182">
        <v>371.0327934049739</v>
      </c>
      <c r="K12" s="267">
        <v>187.36413095969192</v>
      </c>
      <c r="L12" s="54"/>
    </row>
    <row r="13" spans="2:12" ht="11.25">
      <c r="B13" s="114" t="s">
        <v>145</v>
      </c>
      <c r="C13" s="182">
        <v>559.95372014</v>
      </c>
      <c r="D13" s="182">
        <v>654.829145</v>
      </c>
      <c r="E13" s="182">
        <v>663.70561146</v>
      </c>
      <c r="F13" s="185">
        <v>8.87646645999996</v>
      </c>
      <c r="G13" s="185">
        <v>103.75189132000003</v>
      </c>
      <c r="H13" s="182">
        <v>1.3555393078907567</v>
      </c>
      <c r="I13" s="182">
        <v>15.288970346559383</v>
      </c>
      <c r="J13" s="182">
        <v>25.443237507440152</v>
      </c>
      <c r="K13" s="224">
        <v>18.528654706331782</v>
      </c>
      <c r="L13" s="54"/>
    </row>
    <row r="14" spans="2:12" ht="11.25">
      <c r="B14" s="114" t="s">
        <v>146</v>
      </c>
      <c r="C14" s="182">
        <v>10514.59267079</v>
      </c>
      <c r="D14" s="182">
        <v>11675.187948100001</v>
      </c>
      <c r="E14" s="182">
        <v>12006.5000277</v>
      </c>
      <c r="F14" s="185">
        <v>331.31207959999847</v>
      </c>
      <c r="G14" s="185">
        <v>1491.90735691</v>
      </c>
      <c r="H14" s="182">
        <v>2.837745148710138</v>
      </c>
      <c r="I14" s="182">
        <v>16.580536515940935</v>
      </c>
      <c r="J14" s="182">
        <v>12.545373379037205</v>
      </c>
      <c r="K14" s="224">
        <v>14.188922040266805</v>
      </c>
      <c r="L14" s="54"/>
    </row>
    <row r="15" spans="2:14" ht="11.25">
      <c r="B15" s="114" t="s">
        <v>50</v>
      </c>
      <c r="C15" s="182">
        <v>20689.39033044</v>
      </c>
      <c r="D15" s="182">
        <v>22501.381495990005</v>
      </c>
      <c r="E15" s="182">
        <v>22438.881767993</v>
      </c>
      <c r="F15" s="185">
        <v>-62.49972799700481</v>
      </c>
      <c r="G15" s="185">
        <v>1749.4914375529988</v>
      </c>
      <c r="H15" s="182">
        <v>-0.2777595144908901</v>
      </c>
      <c r="I15" s="182">
        <v>9.452111251939566</v>
      </c>
      <c r="J15" s="182">
        <v>8.960404801339372</v>
      </c>
      <c r="K15" s="224">
        <v>8.455983523975563</v>
      </c>
      <c r="L15" s="54"/>
      <c r="M15" s="51"/>
      <c r="N15" s="54"/>
    </row>
    <row r="16" spans="2:14" ht="11.25">
      <c r="B16" s="114" t="s">
        <v>140</v>
      </c>
      <c r="C16" s="182">
        <v>0</v>
      </c>
      <c r="D16" s="182">
        <v>5.375</v>
      </c>
      <c r="E16" s="182">
        <v>5.375</v>
      </c>
      <c r="F16" s="185">
        <v>0</v>
      </c>
      <c r="G16" s="185">
        <v>5.375</v>
      </c>
      <c r="H16" s="182">
        <v>0</v>
      </c>
      <c r="I16" s="182">
        <v>0</v>
      </c>
      <c r="J16" s="182">
        <v>0</v>
      </c>
      <c r="K16" s="224">
        <v>0</v>
      </c>
      <c r="L16" s="54"/>
      <c r="M16" s="51"/>
      <c r="N16" s="54"/>
    </row>
    <row r="17" spans="2:12" ht="11.25">
      <c r="B17" s="111" t="s">
        <v>44</v>
      </c>
      <c r="C17" s="181">
        <v>-13805.840458316437</v>
      </c>
      <c r="D17" s="181">
        <v>-15752.322586369806</v>
      </c>
      <c r="E17" s="181">
        <v>-15935.660573522668</v>
      </c>
      <c r="F17" s="189">
        <v>-183.3379871528614</v>
      </c>
      <c r="G17" s="189">
        <v>-2129.82011520623</v>
      </c>
      <c r="H17" s="181">
        <v>1.1638790797206018</v>
      </c>
      <c r="I17" s="181">
        <v>13.655292210827863</v>
      </c>
      <c r="J17" s="181">
        <v>16.00644575630481</v>
      </c>
      <c r="K17" s="223">
        <v>15.42695007693833</v>
      </c>
      <c r="L17" s="54"/>
    </row>
    <row r="18" spans="2:12" ht="12" thickBot="1">
      <c r="B18" s="115" t="s">
        <v>51</v>
      </c>
      <c r="C18" s="184">
        <v>29776.17952681624</v>
      </c>
      <c r="D18" s="184">
        <v>30310.059872138034</v>
      </c>
      <c r="E18" s="184">
        <v>30465.342069280887</v>
      </c>
      <c r="F18" s="188">
        <v>155.28219714285297</v>
      </c>
      <c r="G18" s="188">
        <v>689.1625424646481</v>
      </c>
      <c r="H18" s="184">
        <v>0.5123124065010287</v>
      </c>
      <c r="I18" s="184">
        <v>8.318047713934407</v>
      </c>
      <c r="J18" s="184">
        <v>8.234038185496484</v>
      </c>
      <c r="K18" s="225">
        <v>2.3145794692301047</v>
      </c>
      <c r="L18" s="54"/>
    </row>
    <row r="19" spans="2:13" ht="11.25">
      <c r="B19" s="176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143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2" thickBot="1">
      <c r="B21" s="143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1" ht="11.25">
      <c r="B22" s="294" t="s">
        <v>137</v>
      </c>
      <c r="C22" s="295"/>
      <c r="D22" s="295"/>
      <c r="E22" s="295"/>
      <c r="F22" s="295"/>
      <c r="G22" s="295"/>
      <c r="H22" s="295"/>
      <c r="I22" s="295"/>
      <c r="J22" s="295"/>
      <c r="K22" s="296"/>
    </row>
    <row r="23" spans="2:11" ht="11.25">
      <c r="B23" s="283" t="s">
        <v>119</v>
      </c>
      <c r="C23" s="284"/>
      <c r="D23" s="284"/>
      <c r="E23" s="284"/>
      <c r="F23" s="284"/>
      <c r="G23" s="284"/>
      <c r="H23" s="284"/>
      <c r="I23" s="285"/>
      <c r="J23" s="285"/>
      <c r="K23" s="286"/>
    </row>
    <row r="24" spans="2:11" ht="11.25">
      <c r="B24" s="108"/>
      <c r="C24" s="22"/>
      <c r="D24" s="22"/>
      <c r="E24" s="22"/>
      <c r="F24" s="287" t="s">
        <v>111</v>
      </c>
      <c r="G24" s="293"/>
      <c r="H24" s="175" t="s">
        <v>131</v>
      </c>
      <c r="I24" s="287" t="s">
        <v>133</v>
      </c>
      <c r="J24" s="288"/>
      <c r="K24" s="289"/>
    </row>
    <row r="25" spans="2:11" ht="11.25">
      <c r="B25" s="109"/>
      <c r="C25" s="12">
        <f>C5</f>
        <v>39630</v>
      </c>
      <c r="D25" s="12">
        <f>D5</f>
        <v>39990</v>
      </c>
      <c r="E25" s="12">
        <f>E5</f>
        <v>40020</v>
      </c>
      <c r="F25" s="12" t="s">
        <v>114</v>
      </c>
      <c r="G25" s="97" t="s">
        <v>113</v>
      </c>
      <c r="H25" s="97" t="s">
        <v>134</v>
      </c>
      <c r="I25" s="12">
        <f>I5</f>
        <v>39934</v>
      </c>
      <c r="J25" s="12">
        <f>J5</f>
        <v>39965</v>
      </c>
      <c r="K25" s="221">
        <f>K5</f>
        <v>39995</v>
      </c>
    </row>
    <row r="26" spans="2:11" ht="11.25">
      <c r="B26" s="117"/>
      <c r="C26" s="35"/>
      <c r="D26" s="35"/>
      <c r="E26" s="35"/>
      <c r="F26" s="35"/>
      <c r="G26" s="35"/>
      <c r="H26" s="35"/>
      <c r="I26" s="35"/>
      <c r="J26" s="35"/>
      <c r="K26" s="118"/>
    </row>
    <row r="27" spans="2:11" ht="11.25">
      <c r="B27" s="111" t="s">
        <v>51</v>
      </c>
      <c r="C27" s="198">
        <v>29776.180892286677</v>
      </c>
      <c r="D27" s="198">
        <v>30310.085646372143</v>
      </c>
      <c r="E27" s="198">
        <v>30465.37426194036</v>
      </c>
      <c r="F27" s="198">
        <v>155.2886155682172</v>
      </c>
      <c r="G27" s="198">
        <v>689.1933696536835</v>
      </c>
      <c r="H27" s="198">
        <v>0.5123331467286828</v>
      </c>
      <c r="I27" s="198">
        <v>8.318047713934407</v>
      </c>
      <c r="J27" s="198">
        <v>8.234038185496484</v>
      </c>
      <c r="K27" s="226">
        <v>2.3145794692301047</v>
      </c>
    </row>
    <row r="28" spans="2:12" ht="11.25">
      <c r="B28" s="113" t="s">
        <v>52</v>
      </c>
      <c r="C28" s="199">
        <v>985.97166874</v>
      </c>
      <c r="D28" s="199">
        <v>1187.0144882219029</v>
      </c>
      <c r="E28" s="199">
        <v>1266.3483049819029</v>
      </c>
      <c r="F28" s="199">
        <v>79.33381675999999</v>
      </c>
      <c r="G28" s="199">
        <v>280.3766362419028</v>
      </c>
      <c r="H28" s="199">
        <v>6.6834750162854935</v>
      </c>
      <c r="I28" s="199">
        <v>31.152579540686954</v>
      </c>
      <c r="J28" s="199">
        <v>23.99207046960243</v>
      </c>
      <c r="K28" s="227">
        <v>28.436581408084848</v>
      </c>
      <c r="L28" s="51"/>
    </row>
    <row r="29" spans="2:11" ht="11.25">
      <c r="B29" s="113" t="s">
        <v>53</v>
      </c>
      <c r="C29" s="199">
        <v>18716.079798290513</v>
      </c>
      <c r="D29" s="199">
        <v>19036.189702452895</v>
      </c>
      <c r="E29" s="199">
        <v>19003.904957672894</v>
      </c>
      <c r="F29" s="199">
        <v>-32.28474478000135</v>
      </c>
      <c r="G29" s="199">
        <v>287.82515938238066</v>
      </c>
      <c r="H29" s="199">
        <v>-0.16959667498922495</v>
      </c>
      <c r="I29" s="199">
        <v>13.586327371229178</v>
      </c>
      <c r="J29" s="199">
        <v>10.224542860771768</v>
      </c>
      <c r="K29" s="227">
        <v>1.5378496057099955</v>
      </c>
    </row>
    <row r="30" spans="2:11" ht="11.25">
      <c r="B30" s="113" t="s">
        <v>54</v>
      </c>
      <c r="C30" s="199">
        <v>10070.199675790001</v>
      </c>
      <c r="D30" s="199">
        <v>10082.94237877178</v>
      </c>
      <c r="E30" s="199">
        <v>10191.18192236</v>
      </c>
      <c r="F30" s="199">
        <v>108.23954358821902</v>
      </c>
      <c r="G30" s="199">
        <v>120.9822465699981</v>
      </c>
      <c r="H30" s="199">
        <v>1.0734916408537867</v>
      </c>
      <c r="I30" s="199">
        <v>-2.1136455166902213</v>
      </c>
      <c r="J30" s="199">
        <v>3.175904882028213</v>
      </c>
      <c r="K30" s="227">
        <v>1.201388755585997</v>
      </c>
    </row>
    <row r="31" spans="2:11" ht="12" thickBot="1">
      <c r="B31" s="119" t="s">
        <v>107</v>
      </c>
      <c r="C31" s="228">
        <v>3.9297494661639343</v>
      </c>
      <c r="D31" s="228">
        <v>3.93907692556274</v>
      </c>
      <c r="E31" s="228">
        <v>3.93907692556274</v>
      </c>
      <c r="F31" s="228">
        <v>0</v>
      </c>
      <c r="G31" s="228">
        <v>0.009327459398805527</v>
      </c>
      <c r="H31" s="228">
        <v>0</v>
      </c>
      <c r="I31" s="228">
        <v>0.1672432020378034</v>
      </c>
      <c r="J31" s="228">
        <v>0.2373550649759526</v>
      </c>
      <c r="K31" s="268">
        <v>0.2373550649759526</v>
      </c>
    </row>
    <row r="32" spans="2:11" ht="11.25">
      <c r="B32" s="42"/>
      <c r="C32" s="98"/>
      <c r="D32" s="98"/>
      <c r="E32" s="98"/>
      <c r="F32" s="98"/>
      <c r="G32" s="98"/>
      <c r="H32" s="98"/>
      <c r="I32" s="98"/>
      <c r="J32" s="98"/>
      <c r="K32" s="98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3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94" t="s">
        <v>137</v>
      </c>
      <c r="C35" s="295"/>
      <c r="D35" s="295"/>
      <c r="E35" s="295"/>
      <c r="F35" s="295"/>
      <c r="G35" s="295"/>
      <c r="H35" s="295"/>
      <c r="I35" s="295"/>
      <c r="J35" s="295"/>
      <c r="K35" s="296"/>
    </row>
    <row r="36" spans="2:11" ht="11.25">
      <c r="B36" s="283" t="s">
        <v>127</v>
      </c>
      <c r="C36" s="284"/>
      <c r="D36" s="284"/>
      <c r="E36" s="284"/>
      <c r="F36" s="284"/>
      <c r="G36" s="284"/>
      <c r="H36" s="284"/>
      <c r="I36" s="285"/>
      <c r="J36" s="285"/>
      <c r="K36" s="286"/>
    </row>
    <row r="37" spans="2:11" ht="11.25">
      <c r="B37" s="108"/>
      <c r="C37" s="22"/>
      <c r="D37" s="22"/>
      <c r="E37" s="22"/>
      <c r="F37" s="287" t="s">
        <v>111</v>
      </c>
      <c r="G37" s="293"/>
      <c r="H37" s="175" t="s">
        <v>132</v>
      </c>
      <c r="I37" s="290" t="s">
        <v>133</v>
      </c>
      <c r="J37" s="291"/>
      <c r="K37" s="292"/>
    </row>
    <row r="38" spans="2:11" ht="11.25">
      <c r="B38" s="109"/>
      <c r="C38" s="12">
        <f>C25</f>
        <v>39630</v>
      </c>
      <c r="D38" s="12">
        <f>D25</f>
        <v>39990</v>
      </c>
      <c r="E38" s="12">
        <f>E25</f>
        <v>40020</v>
      </c>
      <c r="F38" s="12" t="s">
        <v>114</v>
      </c>
      <c r="G38" s="97" t="s">
        <v>113</v>
      </c>
      <c r="H38" s="97" t="s">
        <v>134</v>
      </c>
      <c r="I38" s="12">
        <f>I25</f>
        <v>39934</v>
      </c>
      <c r="J38" s="12">
        <f>J25</f>
        <v>39965</v>
      </c>
      <c r="K38" s="221">
        <f>K25</f>
        <v>39995</v>
      </c>
    </row>
    <row r="39" spans="2:11" ht="11.25">
      <c r="B39" s="120"/>
      <c r="C39" s="36"/>
      <c r="D39" s="126"/>
      <c r="E39" s="126"/>
      <c r="F39" s="36"/>
      <c r="G39" s="37"/>
      <c r="H39" s="37"/>
      <c r="I39" s="37"/>
      <c r="J39" s="37"/>
      <c r="K39" s="121"/>
    </row>
    <row r="40" spans="2:11" ht="11.25">
      <c r="B40" s="122" t="s">
        <v>147</v>
      </c>
      <c r="C40" s="200">
        <v>31218.94139616</v>
      </c>
      <c r="D40" s="200">
        <v>34024.01223629001</v>
      </c>
      <c r="E40" s="200">
        <v>34319.578525443</v>
      </c>
      <c r="F40" s="200">
        <v>359.5086954629961</v>
      </c>
      <c r="G40" s="200">
        <v>3100.637129283001</v>
      </c>
      <c r="H40" s="200">
        <v>0.8686991031520461</v>
      </c>
      <c r="I40" s="200">
        <v>11.161186008459524</v>
      </c>
      <c r="J40" s="200">
        <v>9.624399592865164</v>
      </c>
      <c r="K40" s="229">
        <v>9.93190989385817</v>
      </c>
    </row>
    <row r="41" spans="2:11" ht="11.25">
      <c r="B41" s="249" t="s">
        <v>49</v>
      </c>
      <c r="C41" s="250">
        <v>751.94234664</v>
      </c>
      <c r="D41" s="250">
        <v>477.98560284999996</v>
      </c>
      <c r="E41" s="250">
        <v>541.92800916</v>
      </c>
      <c r="F41" s="250">
        <v>63.942406310000024</v>
      </c>
      <c r="G41" s="250">
        <v>-210.01433748</v>
      </c>
      <c r="H41" s="250">
        <v>13.377475373471917</v>
      </c>
      <c r="I41" s="250">
        <v>11.161186008459524</v>
      </c>
      <c r="J41" s="250">
        <v>9.624399592865164</v>
      </c>
      <c r="K41" s="251">
        <v>9.93190989385817</v>
      </c>
    </row>
    <row r="42" spans="2:11" ht="11.25">
      <c r="B42" s="123" t="s">
        <v>148</v>
      </c>
      <c r="C42" s="216">
        <v>10494.57617429</v>
      </c>
      <c r="D42" s="216">
        <v>11570.038923420001</v>
      </c>
      <c r="E42" s="216">
        <v>11933.35496535</v>
      </c>
      <c r="F42" s="216">
        <v>363.3160419299984</v>
      </c>
      <c r="G42" s="216">
        <v>1438.77879106</v>
      </c>
      <c r="H42" s="216">
        <v>3.140145373189509</v>
      </c>
      <c r="I42" s="216">
        <v>15.623364532635776</v>
      </c>
      <c r="J42" s="216">
        <v>11.755337498688512</v>
      </c>
      <c r="K42" s="230">
        <v>13.709736983802866</v>
      </c>
    </row>
    <row r="43" spans="2:11" ht="11.25">
      <c r="B43" s="124" t="s">
        <v>84</v>
      </c>
      <c r="C43" s="202">
        <v>8006.4478395999995</v>
      </c>
      <c r="D43" s="202">
        <v>8708.15021936</v>
      </c>
      <c r="E43" s="202">
        <v>9054.03290024</v>
      </c>
      <c r="F43" s="201">
        <v>345.8826808799986</v>
      </c>
      <c r="G43" s="201">
        <v>1047.58506064</v>
      </c>
      <c r="H43" s="201">
        <v>3.9719420562019083</v>
      </c>
      <c r="I43" s="201">
        <v>12.321399915727183</v>
      </c>
      <c r="J43" s="201">
        <v>8.470010989316012</v>
      </c>
      <c r="K43" s="231">
        <v>13.084267600653444</v>
      </c>
    </row>
    <row r="44" spans="2:11" ht="11.25">
      <c r="B44" s="125" t="s">
        <v>85</v>
      </c>
      <c r="C44" s="203">
        <v>2389.0162666700003</v>
      </c>
      <c r="D44" s="203">
        <v>2744.37079824</v>
      </c>
      <c r="E44" s="203">
        <v>2797.3951105200003</v>
      </c>
      <c r="F44" s="201">
        <v>53.02431228000023</v>
      </c>
      <c r="G44" s="201">
        <v>408.37884385000007</v>
      </c>
      <c r="H44" s="201">
        <v>1.9321118091624279</v>
      </c>
      <c r="I44" s="201">
        <v>16.301775771484593</v>
      </c>
      <c r="J44" s="201">
        <v>21.02271827626958</v>
      </c>
      <c r="K44" s="231">
        <v>18.923592266291077</v>
      </c>
    </row>
    <row r="45" spans="2:11" ht="11.25">
      <c r="B45" s="125" t="s">
        <v>86</v>
      </c>
      <c r="C45" s="203">
        <v>1811.73139476</v>
      </c>
      <c r="D45" s="203">
        <v>1680.0748957099997</v>
      </c>
      <c r="E45" s="203">
        <v>2019.5808532199999</v>
      </c>
      <c r="F45" s="201">
        <v>339.50595751000014</v>
      </c>
      <c r="G45" s="201">
        <v>207.84945845999982</v>
      </c>
      <c r="H45" s="201">
        <v>20.207787068119064</v>
      </c>
      <c r="I45" s="201">
        <v>3.2209370603937915</v>
      </c>
      <c r="J45" s="201">
        <v>-7.097709896233617</v>
      </c>
      <c r="K45" s="231">
        <v>11.472421301587787</v>
      </c>
    </row>
    <row r="46" spans="2:11" ht="11.25">
      <c r="B46" s="125" t="s">
        <v>87</v>
      </c>
      <c r="C46" s="203">
        <v>3805.7001781699996</v>
      </c>
      <c r="D46" s="203">
        <v>4230.680213130001</v>
      </c>
      <c r="E46" s="203">
        <v>4193.34808287</v>
      </c>
      <c r="F46" s="201">
        <v>-37.33213026000067</v>
      </c>
      <c r="G46" s="201">
        <v>387.6479047000007</v>
      </c>
      <c r="H46" s="201">
        <v>-0.8824143726141166</v>
      </c>
      <c r="I46" s="201">
        <v>13.83572845829133</v>
      </c>
      <c r="J46" s="201">
        <v>8.249466098586566</v>
      </c>
      <c r="K46" s="231">
        <v>10.185981200610605</v>
      </c>
    </row>
    <row r="47" spans="2:11" ht="11.25">
      <c r="B47" s="124" t="s">
        <v>88</v>
      </c>
      <c r="C47" s="203">
        <v>1547.0417883799998</v>
      </c>
      <c r="D47" s="203">
        <v>1938.8512920800001</v>
      </c>
      <c r="E47" s="203">
        <v>1955.94295111</v>
      </c>
      <c r="F47" s="201">
        <v>17.091659029999846</v>
      </c>
      <c r="G47" s="201">
        <v>408.9011627300001</v>
      </c>
      <c r="H47" s="201">
        <v>0.8815353245407445</v>
      </c>
      <c r="I47" s="201">
        <v>40.85676682105004</v>
      </c>
      <c r="J47" s="201">
        <v>28.22252578289792</v>
      </c>
      <c r="K47" s="231">
        <v>26.431164678375296</v>
      </c>
    </row>
    <row r="48" spans="2:11" ht="11.25">
      <c r="B48" s="124" t="s">
        <v>89</v>
      </c>
      <c r="C48" s="203">
        <v>61.17541072</v>
      </c>
      <c r="D48" s="203">
        <v>62.66200439</v>
      </c>
      <c r="E48" s="203">
        <v>64.07642326</v>
      </c>
      <c r="F48" s="201">
        <v>1.4144188699999987</v>
      </c>
      <c r="G48" s="201">
        <v>2.9010125399999964</v>
      </c>
      <c r="H48" s="201">
        <v>2.257219320972951</v>
      </c>
      <c r="I48" s="201">
        <v>13.040363433247038</v>
      </c>
      <c r="J48" s="201">
        <v>13.738329687343565</v>
      </c>
      <c r="K48" s="231">
        <v>4.742121885013462</v>
      </c>
    </row>
    <row r="49" spans="2:12" ht="11.25">
      <c r="B49" s="124" t="s">
        <v>90</v>
      </c>
      <c r="C49" s="203">
        <v>879.91113559</v>
      </c>
      <c r="D49" s="203">
        <v>860.37540759</v>
      </c>
      <c r="E49" s="203">
        <v>859.30269074</v>
      </c>
      <c r="F49" s="201">
        <v>-1.0727168500000062</v>
      </c>
      <c r="G49" s="201">
        <v>-20.608444849999955</v>
      </c>
      <c r="H49" s="201">
        <v>-0.12468009203154659</v>
      </c>
      <c r="I49" s="201">
        <v>5.4558675527045075</v>
      </c>
      <c r="J49" s="201">
        <v>13.55811006169365</v>
      </c>
      <c r="K49" s="231">
        <v>-2.3421052440916745</v>
      </c>
      <c r="L49" s="49"/>
    </row>
    <row r="50" spans="2:13" ht="11.25">
      <c r="B50" s="123" t="s">
        <v>128</v>
      </c>
      <c r="C50" s="215">
        <v>20664.64522187</v>
      </c>
      <c r="D50" s="215">
        <v>22352.385312870003</v>
      </c>
      <c r="E50" s="215">
        <v>22293.102560093</v>
      </c>
      <c r="F50" s="216">
        <v>-59.282752777002315</v>
      </c>
      <c r="G50" s="216">
        <v>1628.457338223001</v>
      </c>
      <c r="H50" s="216">
        <v>-0.26521891040804774</v>
      </c>
      <c r="I50" s="216">
        <v>8.855919988549976</v>
      </c>
      <c r="J50" s="216">
        <v>8.36753073985561</v>
      </c>
      <c r="K50" s="230">
        <v>7.880403078488651</v>
      </c>
      <c r="L50" s="49"/>
      <c r="M50" s="49"/>
    </row>
    <row r="51" spans="2:11" ht="11.25">
      <c r="B51" s="124" t="s">
        <v>91</v>
      </c>
      <c r="C51" s="204">
        <v>16836.90016257</v>
      </c>
      <c r="D51" s="204">
        <v>18373.31968571</v>
      </c>
      <c r="E51" s="204">
        <v>18373.226679043</v>
      </c>
      <c r="F51" s="201">
        <v>-0.09300666700073634</v>
      </c>
      <c r="G51" s="201">
        <v>1536.326516473</v>
      </c>
      <c r="H51" s="201">
        <v>-0.0005062050222370704</v>
      </c>
      <c r="I51" s="201">
        <v>10.149970395604612</v>
      </c>
      <c r="J51" s="201">
        <v>9.581165653717871</v>
      </c>
      <c r="K51" s="231">
        <v>9.124758724224048</v>
      </c>
    </row>
    <row r="52" spans="2:11" ht="11.25">
      <c r="B52" s="125" t="s">
        <v>85</v>
      </c>
      <c r="C52" s="203">
        <v>13440.119271421001</v>
      </c>
      <c r="D52" s="203">
        <v>14690.972698652999</v>
      </c>
      <c r="E52" s="203">
        <v>14758.965770493</v>
      </c>
      <c r="F52" s="201">
        <v>67.993071840001</v>
      </c>
      <c r="G52" s="201">
        <v>1318.8464990719986</v>
      </c>
      <c r="H52" s="201">
        <v>0.46282212372660125</v>
      </c>
      <c r="I52" s="201">
        <v>8.42644288772143</v>
      </c>
      <c r="J52" s="201">
        <v>9.514105961684471</v>
      </c>
      <c r="K52" s="231">
        <v>10.173121947729836</v>
      </c>
    </row>
    <row r="53" spans="2:11" ht="11.25">
      <c r="B53" s="125" t="s">
        <v>92</v>
      </c>
      <c r="C53" s="203">
        <v>2233.969266489</v>
      </c>
      <c r="D53" s="203">
        <v>2285.357084977001</v>
      </c>
      <c r="E53" s="203">
        <v>2348.66601343</v>
      </c>
      <c r="F53" s="201">
        <v>63.308928452999226</v>
      </c>
      <c r="G53" s="201">
        <v>114.69674694100013</v>
      </c>
      <c r="H53" s="201">
        <v>2.7701985334880983</v>
      </c>
      <c r="I53" s="201">
        <v>22.212141239366588</v>
      </c>
      <c r="J53" s="201">
        <v>9.306425241657546</v>
      </c>
      <c r="K53" s="231">
        <v>5.134213288496237</v>
      </c>
    </row>
    <row r="54" spans="2:12" ht="11.25">
      <c r="B54" s="125" t="s">
        <v>87</v>
      </c>
      <c r="C54" s="203">
        <v>1162.81162466</v>
      </c>
      <c r="D54" s="203">
        <v>1328.99660484</v>
      </c>
      <c r="E54" s="203">
        <v>1217.16167079</v>
      </c>
      <c r="F54" s="201">
        <v>-111.8349340499999</v>
      </c>
      <c r="G54" s="201">
        <v>54.35004613000001</v>
      </c>
      <c r="H54" s="201">
        <v>-8.414990199577213</v>
      </c>
      <c r="I54" s="201">
        <v>11.417725311837446</v>
      </c>
      <c r="J54" s="201">
        <v>10.813685445471899</v>
      </c>
      <c r="K54" s="231">
        <v>4.674019847874478</v>
      </c>
      <c r="L54" s="49"/>
    </row>
    <row r="55" spans="2:11" ht="11.25">
      <c r="B55" s="124" t="s">
        <v>88</v>
      </c>
      <c r="C55" s="203">
        <v>3279.0360643000004</v>
      </c>
      <c r="D55" s="203">
        <v>3285.8828602900003</v>
      </c>
      <c r="E55" s="203">
        <v>3224.9133907699993</v>
      </c>
      <c r="F55" s="201">
        <v>-60.969469520000985</v>
      </c>
      <c r="G55" s="201">
        <v>-54.122673530001066</v>
      </c>
      <c r="H55" s="201">
        <v>-1.8554973537498545</v>
      </c>
      <c r="I55" s="201">
        <v>-3.8697445430363353</v>
      </c>
      <c r="J55" s="201">
        <v>-1.117417438502244</v>
      </c>
      <c r="K55" s="231">
        <v>-1.6505665832484584</v>
      </c>
    </row>
    <row r="56" spans="2:11" ht="11.25">
      <c r="B56" s="124" t="s">
        <v>89</v>
      </c>
      <c r="C56" s="203">
        <v>96.37438881</v>
      </c>
      <c r="D56" s="203">
        <v>78.50164518999998</v>
      </c>
      <c r="E56" s="203">
        <v>74.08714988</v>
      </c>
      <c r="F56" s="201">
        <v>-4.414495309999978</v>
      </c>
      <c r="G56" s="201">
        <v>-22.28723893</v>
      </c>
      <c r="H56" s="201">
        <v>-5.623443049270417</v>
      </c>
      <c r="I56" s="201">
        <v>-12.325973140149715</v>
      </c>
      <c r="J56" s="201">
        <v>-17.133180257984904</v>
      </c>
      <c r="K56" s="231">
        <v>-23.125686404028777</v>
      </c>
    </row>
    <row r="57" spans="2:11" ht="11.25">
      <c r="B57" s="124" t="s">
        <v>90</v>
      </c>
      <c r="C57" s="203">
        <v>452.33460619000004</v>
      </c>
      <c r="D57" s="203">
        <v>614.6811216799999</v>
      </c>
      <c r="E57" s="203">
        <v>620.8753404000001</v>
      </c>
      <c r="F57" s="201">
        <v>6.194218720000208</v>
      </c>
      <c r="G57" s="201">
        <v>168.5407342100001</v>
      </c>
      <c r="H57" s="201">
        <v>1.0077125360659587</v>
      </c>
      <c r="I57" s="201">
        <v>68.70419004803333</v>
      </c>
      <c r="J57" s="201">
        <v>39.1141757953076</v>
      </c>
      <c r="K57" s="231">
        <v>37.26019011227404</v>
      </c>
    </row>
    <row r="58" spans="2:11" ht="12" thickBot="1">
      <c r="B58" s="217" t="s">
        <v>93</v>
      </c>
      <c r="C58" s="217">
        <v>59.71999999999999</v>
      </c>
      <c r="D58" s="217">
        <v>101.58799999999998</v>
      </c>
      <c r="E58" s="273">
        <v>93.121</v>
      </c>
      <c r="F58" s="217">
        <v>-8.466999999999985</v>
      </c>
      <c r="G58" s="217">
        <v>33.401</v>
      </c>
      <c r="H58" s="217">
        <v>-8.334645824309945</v>
      </c>
      <c r="I58" s="217">
        <v>49.54679121259298</v>
      </c>
      <c r="J58" s="217">
        <v>76.89201892874846</v>
      </c>
      <c r="K58" s="232">
        <v>55.92933690555928</v>
      </c>
    </row>
    <row r="59" ht="11.25">
      <c r="B59" s="55" t="s">
        <v>126</v>
      </c>
    </row>
    <row r="62" spans="2:11" ht="12">
      <c r="B62" s="281"/>
      <c r="C62" s="282"/>
      <c r="D62" s="282"/>
      <c r="E62" s="282"/>
      <c r="F62" s="282"/>
      <c r="G62" s="282"/>
      <c r="H62" s="282"/>
      <c r="I62" s="282"/>
      <c r="J62" s="282"/>
      <c r="K62" s="282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9"/>
  <sheetViews>
    <sheetView showGridLines="0" zoomScale="70" zoomScaleNormal="70" workbookViewId="0" topLeftCell="A1">
      <selection activeCell="C3" sqref="A3:V74"/>
    </sheetView>
  </sheetViews>
  <sheetFormatPr defaultColWidth="9.140625" defaultRowHeight="12"/>
  <cols>
    <col min="1" max="16384" width="9.28125" style="1" customWidth="1"/>
  </cols>
  <sheetData>
    <row r="2" spans="1:14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7" ht="15.75">
      <c r="A4" s="245"/>
      <c r="B4" s="303" t="s">
        <v>110</v>
      </c>
      <c r="C4" s="304"/>
      <c r="D4" s="304"/>
      <c r="E4" s="304"/>
      <c r="F4" s="304"/>
      <c r="G4" s="304"/>
      <c r="H4" s="304"/>
      <c r="I4" s="304"/>
      <c r="J4" s="304"/>
      <c r="K4" s="304"/>
      <c r="L4" s="305"/>
      <c r="M4" s="305"/>
      <c r="N4" s="245"/>
      <c r="O4" s="246"/>
      <c r="P4" s="246"/>
      <c r="Q4" s="246"/>
    </row>
    <row r="5" spans="1:17" ht="15.75">
      <c r="A5" s="245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142"/>
      <c r="N5" s="245"/>
      <c r="O5" s="246"/>
      <c r="P5" s="246"/>
      <c r="Q5" s="246"/>
    </row>
    <row r="6" spans="1:17" ht="1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</row>
    <row r="7" spans="1:17" ht="1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6"/>
      <c r="P7" s="246"/>
      <c r="Q7" s="246"/>
    </row>
    <row r="8" spans="1:17" ht="1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6"/>
      <c r="Q8" s="246"/>
    </row>
    <row r="9" spans="1:17" ht="15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6"/>
      <c r="P9" s="246"/>
      <c r="Q9" s="246"/>
    </row>
    <row r="10" spans="1:17" ht="1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246"/>
      <c r="Q10" s="246"/>
    </row>
    <row r="11" spans="1:17" ht="15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6"/>
      <c r="P11" s="246"/>
      <c r="Q11" s="246"/>
    </row>
    <row r="12" spans="1:17" ht="1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6"/>
      <c r="P12" s="246"/>
      <c r="Q12" s="246"/>
    </row>
    <row r="13" spans="1:17" ht="1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  <c r="P13" s="246"/>
      <c r="Q13" s="246"/>
    </row>
    <row r="14" spans="1:17" ht="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6"/>
      <c r="P14" s="246"/>
      <c r="Q14" s="246"/>
    </row>
    <row r="15" spans="1:17" ht="1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6"/>
      <c r="P15" s="246"/>
      <c r="Q15" s="246"/>
    </row>
    <row r="16" spans="1:17" ht="1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6"/>
      <c r="P16" s="246"/>
      <c r="Q16" s="246"/>
    </row>
    <row r="17" spans="1:17" ht="15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6"/>
      <c r="P17" s="246"/>
      <c r="Q17" s="246"/>
    </row>
    <row r="18" spans="1:17" ht="15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246"/>
      <c r="Q18" s="246"/>
    </row>
    <row r="19" spans="1:17" ht="15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6"/>
      <c r="P19" s="246"/>
      <c r="Q19" s="246"/>
    </row>
    <row r="20" spans="1:17" ht="15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6"/>
      <c r="P20" s="246"/>
      <c r="Q20" s="246"/>
    </row>
    <row r="21" spans="1:17" ht="15">
      <c r="A21" s="246"/>
      <c r="B21" s="246"/>
      <c r="C21" s="246"/>
      <c r="D21" s="245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t="1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t="15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t="1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ht="15.75">
      <c r="A25" s="303"/>
      <c r="B25" s="304"/>
      <c r="C25" s="304"/>
      <c r="D25" s="304"/>
      <c r="E25" s="304"/>
      <c r="F25" s="304"/>
      <c r="G25" s="304"/>
      <c r="H25" s="304"/>
      <c r="I25" s="304"/>
      <c r="J25" s="304"/>
      <c r="K25" s="305"/>
      <c r="L25" s="305"/>
      <c r="M25" s="246"/>
      <c r="N25" s="246"/>
      <c r="O25" s="246"/>
      <c r="P25" s="246"/>
      <c r="Q25" s="246"/>
    </row>
    <row r="26" spans="1:17" ht="15">
      <c r="A26" s="246"/>
      <c r="B26" s="247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ht="15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6"/>
      <c r="N27" s="246"/>
      <c r="O27" s="246"/>
      <c r="P27" s="246"/>
      <c r="Q27" s="246"/>
    </row>
    <row r="28" spans="1:17" ht="15">
      <c r="A28" s="246"/>
      <c r="N28" s="246"/>
      <c r="O28" s="246"/>
      <c r="P28" s="246"/>
      <c r="Q28" s="246"/>
    </row>
    <row r="29" spans="1:17" ht="15">
      <c r="A29" s="246"/>
      <c r="N29" s="246"/>
      <c r="O29" s="246"/>
      <c r="P29" s="246"/>
      <c r="Q29" s="246"/>
    </row>
    <row r="30" spans="1:17" ht="15">
      <c r="A30" s="246"/>
      <c r="N30" s="246"/>
      <c r="O30" s="246"/>
      <c r="P30" s="246"/>
      <c r="Q30" s="246"/>
    </row>
    <row r="31" spans="1:17" ht="15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6"/>
      <c r="N31" s="246"/>
      <c r="O31" s="246"/>
      <c r="P31" s="246"/>
      <c r="Q31" s="246"/>
    </row>
    <row r="32" spans="1:17" ht="15">
      <c r="A32" s="246"/>
      <c r="N32" s="246"/>
      <c r="O32" s="246"/>
      <c r="P32" s="246"/>
      <c r="Q32" s="246"/>
    </row>
    <row r="33" spans="1:17" ht="16.5">
      <c r="A33" s="246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246"/>
      <c r="O33" s="246"/>
      <c r="P33" s="246"/>
      <c r="Q33" s="246"/>
    </row>
    <row r="34" spans="1:17" ht="15">
      <c r="A34" s="246"/>
      <c r="N34" s="246"/>
      <c r="O34" s="246"/>
      <c r="P34" s="246"/>
      <c r="Q34" s="246"/>
    </row>
    <row r="35" spans="1:17" ht="1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t="15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ht="1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ht="15.75">
      <c r="A38" s="246"/>
      <c r="B38" s="303" t="s">
        <v>168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5"/>
      <c r="M38" s="305"/>
      <c r="N38" s="246"/>
      <c r="O38" s="246"/>
      <c r="P38" s="246"/>
      <c r="Q38" s="246"/>
    </row>
    <row r="39" spans="1:17" ht="15">
      <c r="A39" s="246"/>
      <c r="N39" s="246"/>
      <c r="O39" s="246"/>
      <c r="P39" s="246"/>
      <c r="Q39" s="246"/>
    </row>
    <row r="40" spans="1:17" ht="15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ht="15">
      <c r="A41" s="246"/>
      <c r="N41" s="246"/>
      <c r="O41" s="246"/>
      <c r="P41" s="246"/>
      <c r="Q41" s="246"/>
    </row>
    <row r="42" spans="1:17" ht="15">
      <c r="A42" s="246"/>
      <c r="N42" s="246"/>
      <c r="O42" s="246"/>
      <c r="P42" s="246"/>
      <c r="Q42" s="246"/>
    </row>
    <row r="43" spans="1:17" ht="1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t="15">
      <c r="A44" s="246"/>
      <c r="B44" s="246"/>
      <c r="C44" s="248"/>
      <c r="D44" s="248"/>
      <c r="E44" s="248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ht="15">
      <c r="A45" s="246"/>
      <c r="B45" s="246"/>
      <c r="C45" s="248"/>
      <c r="D45" s="248"/>
      <c r="E45" s="248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15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ht="1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ht="15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ht="15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ht="15">
      <c r="A51" s="246"/>
      <c r="C51" s="15"/>
      <c r="D51" s="261"/>
      <c r="E51" s="261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ht="15">
      <c r="A52" s="246"/>
      <c r="C52" s="15"/>
      <c r="D52" s="261"/>
      <c r="E52" s="261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t="15">
      <c r="A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ht="15">
      <c r="A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t="15">
      <c r="A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t="15">
      <c r="A56" s="246"/>
      <c r="N56" s="246"/>
      <c r="O56" s="246"/>
      <c r="P56" s="246"/>
      <c r="Q56" s="246"/>
    </row>
    <row r="57" spans="2:5" ht="15">
      <c r="B57" s="174"/>
      <c r="C57" s="100"/>
      <c r="D57" s="100"/>
      <c r="E57" s="100"/>
    </row>
    <row r="58" ht="15">
      <c r="B58" s="260"/>
    </row>
    <row r="59" ht="15">
      <c r="B59" s="262"/>
    </row>
  </sheetData>
  <sheetProtection/>
  <mergeCells count="4">
    <mergeCell ref="B4:M4"/>
    <mergeCell ref="A25:L25"/>
    <mergeCell ref="B33:M33"/>
    <mergeCell ref="B38:M38"/>
  </mergeCells>
  <printOptions horizontalCentered="1"/>
  <pageMargins left="0.43" right="0.29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showGridLines="0" zoomScale="80" zoomScaleNormal="80" zoomScalePageLayoutView="0" workbookViewId="0" topLeftCell="A39">
      <selection activeCell="B2" sqref="B2:P76"/>
    </sheetView>
  </sheetViews>
  <sheetFormatPr defaultColWidth="9.140625" defaultRowHeight="12"/>
  <sheetData>
    <row r="2" spans="2:13" ht="12.75">
      <c r="B2" s="308" t="s">
        <v>125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26" ht="11.25">
      <c r="A26" s="177"/>
    </row>
    <row r="29" ht="11.25">
      <c r="B29" s="100"/>
    </row>
    <row r="30" spans="2:13" ht="12.75">
      <c r="B30" s="308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</row>
    <row r="43" spans="2:13" ht="12.75">
      <c r="B43" s="308" t="s">
        <v>135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</row>
    <row r="78" ht="11.25">
      <c r="B78" s="100"/>
    </row>
  </sheetData>
  <sheetProtection/>
  <mergeCells count="3">
    <mergeCell ref="B2:M2"/>
    <mergeCell ref="B43:M43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showGridLines="0" zoomScale="110" zoomScaleNormal="110" zoomScaleSheetLayoutView="75" zoomScalePageLayoutView="0" workbookViewId="0" topLeftCell="A62">
      <selection activeCell="A1" sqref="A1:C87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45</v>
      </c>
    </row>
    <row r="2" spans="1:4" ht="12.75" thickBot="1">
      <c r="A2" s="3" t="s">
        <v>2</v>
      </c>
      <c r="B2" s="47">
        <v>39967</v>
      </c>
      <c r="C2" s="47">
        <v>39998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40</v>
      </c>
      <c r="B6" s="33">
        <v>11.44</v>
      </c>
      <c r="C6" s="33">
        <v>11.4375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11.94</v>
      </c>
      <c r="C8" s="33">
        <v>11.81</v>
      </c>
      <c r="D8" s="4"/>
    </row>
    <row r="9" spans="1:4" ht="12">
      <c r="A9" s="5"/>
      <c r="B9" s="33"/>
      <c r="C9" s="33"/>
      <c r="D9" s="4"/>
    </row>
    <row r="10" spans="1:4" ht="12">
      <c r="A10" s="5" t="s">
        <v>103</v>
      </c>
      <c r="B10" s="50">
        <v>10.21</v>
      </c>
      <c r="C10" s="50">
        <v>10.35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0">
        <v>5.78</v>
      </c>
      <c r="C12" s="50">
        <v>5.55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0">
        <v>7.29</v>
      </c>
      <c r="C16" s="50">
        <v>7.29</v>
      </c>
    </row>
    <row r="17" spans="1:3" ht="12">
      <c r="A17" s="5" t="s">
        <v>39</v>
      </c>
      <c r="B17" s="50">
        <v>7.63</v>
      </c>
      <c r="C17" s="50">
        <v>7.68</v>
      </c>
    </row>
    <row r="18" spans="1:3" ht="12">
      <c r="A18" s="5" t="s">
        <v>8</v>
      </c>
      <c r="B18" s="50">
        <v>160</v>
      </c>
      <c r="C18" s="50">
        <v>150</v>
      </c>
    </row>
    <row r="19" spans="1:3" ht="12">
      <c r="A19" s="5" t="s">
        <v>9</v>
      </c>
      <c r="B19" s="50">
        <v>160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0">
        <v>7.16</v>
      </c>
      <c r="C23" s="50">
        <v>7.3</v>
      </c>
    </row>
    <row r="24" spans="1:3" ht="12">
      <c r="A24" s="5" t="s">
        <v>38</v>
      </c>
      <c r="B24" s="50">
        <v>7.57</v>
      </c>
      <c r="C24" s="50">
        <v>7.72</v>
      </c>
    </row>
    <row r="25" spans="1:3" ht="12">
      <c r="A25" s="5" t="s">
        <v>8</v>
      </c>
      <c r="B25" s="50">
        <v>200</v>
      </c>
      <c r="C25" s="50">
        <v>100</v>
      </c>
    </row>
    <row r="26" spans="1:3" ht="12">
      <c r="A26" s="5" t="s">
        <v>9</v>
      </c>
      <c r="B26" s="50">
        <v>200</v>
      </c>
      <c r="C26" s="50">
        <v>100</v>
      </c>
    </row>
    <row r="27" spans="1:3" ht="12">
      <c r="A27" s="5"/>
      <c r="B27" s="33"/>
      <c r="C27" s="33"/>
    </row>
    <row r="28" spans="1:3" ht="12">
      <c r="A28" s="6" t="s">
        <v>41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7</v>
      </c>
      <c r="B30" s="50">
        <v>7.18</v>
      </c>
      <c r="C30" s="50">
        <v>7.34</v>
      </c>
    </row>
    <row r="31" spans="1:3" ht="12">
      <c r="A31" s="5" t="s">
        <v>38</v>
      </c>
      <c r="B31" s="50">
        <v>7.73</v>
      </c>
      <c r="C31" s="50">
        <v>7.92</v>
      </c>
    </row>
    <row r="32" spans="1:3" ht="12">
      <c r="A32" s="5" t="s">
        <v>8</v>
      </c>
      <c r="B32" s="50">
        <v>200</v>
      </c>
      <c r="C32" s="50">
        <v>50</v>
      </c>
    </row>
    <row r="33" spans="1:3" ht="12">
      <c r="A33" s="5" t="s">
        <v>9</v>
      </c>
      <c r="B33" s="50">
        <v>200</v>
      </c>
      <c r="C33" s="50">
        <v>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42</v>
      </c>
      <c r="B37" s="178">
        <v>3540</v>
      </c>
      <c r="C37" s="178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4"/>
      <c r="C40" s="104"/>
    </row>
    <row r="41" spans="1:3" ht="12.75" thickBot="1">
      <c r="A41" s="3" t="s">
        <v>11</v>
      </c>
      <c r="B41" s="47">
        <f>B2</f>
        <v>39967</v>
      </c>
      <c r="C41" s="47">
        <f>C2</f>
        <v>39998</v>
      </c>
    </row>
    <row r="42" spans="1:3" ht="12">
      <c r="A42" s="5"/>
      <c r="B42" s="105"/>
      <c r="C42" s="105"/>
    </row>
    <row r="43" spans="1:3" ht="12">
      <c r="A43" s="6" t="s">
        <v>12</v>
      </c>
      <c r="B43" s="30"/>
      <c r="C43" s="30"/>
    </row>
    <row r="44" spans="1:3" ht="12">
      <c r="A44" s="7" t="s">
        <v>82</v>
      </c>
      <c r="B44" s="30"/>
      <c r="C44" s="30"/>
    </row>
    <row r="45" spans="1:3" ht="12">
      <c r="A45" s="5" t="s">
        <v>13</v>
      </c>
      <c r="B45" s="278">
        <v>8.82</v>
      </c>
      <c r="C45" s="278">
        <v>8.82</v>
      </c>
    </row>
    <row r="46" spans="1:3" ht="12">
      <c r="A46" s="5" t="s">
        <v>8</v>
      </c>
      <c r="B46" s="278">
        <v>8</v>
      </c>
      <c r="C46" s="278">
        <v>8</v>
      </c>
    </row>
    <row r="47" spans="1:3" ht="12">
      <c r="A47" s="5" t="s">
        <v>9</v>
      </c>
      <c r="B47" s="278">
        <v>0</v>
      </c>
      <c r="C47" s="278">
        <v>0</v>
      </c>
    </row>
    <row r="48" spans="1:3" ht="12">
      <c r="A48" s="5"/>
      <c r="B48" s="279"/>
      <c r="C48" s="279"/>
    </row>
    <row r="49" spans="1:3" ht="12">
      <c r="A49" s="5" t="s">
        <v>14</v>
      </c>
      <c r="B49" s="280">
        <v>5805.68</v>
      </c>
      <c r="C49" s="280">
        <v>5805.68</v>
      </c>
    </row>
    <row r="50" spans="1:3" ht="12.75" thickBot="1">
      <c r="A50" s="5"/>
      <c r="B50" s="104"/>
      <c r="C50" s="104"/>
    </row>
    <row r="51" spans="1:3" ht="12.75" thickBot="1">
      <c r="A51" s="3" t="s">
        <v>15</v>
      </c>
      <c r="B51" s="47">
        <f>B41</f>
        <v>39967</v>
      </c>
      <c r="C51" s="47">
        <f>C41</f>
        <v>39998</v>
      </c>
    </row>
    <row r="52" spans="1:3" ht="12">
      <c r="A52" s="5"/>
      <c r="B52" s="105"/>
      <c r="C52" s="105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78">
        <v>32.1</v>
      </c>
      <c r="C55" s="178">
        <v>17.96</v>
      </c>
      <c r="D55" s="8"/>
    </row>
    <row r="56" spans="1:9" ht="12">
      <c r="A56" s="5" t="s">
        <v>18</v>
      </c>
      <c r="B56" s="179">
        <v>775.65</v>
      </c>
      <c r="C56" s="179">
        <v>392.27</v>
      </c>
      <c r="D56" s="8"/>
      <c r="G56" s="9"/>
      <c r="I56" s="9"/>
    </row>
    <row r="57" spans="1:4" ht="12">
      <c r="A57" s="5" t="s">
        <v>19</v>
      </c>
      <c r="B57" s="179">
        <v>593.91</v>
      </c>
      <c r="C57" s="179">
        <v>653.54</v>
      </c>
      <c r="D57" s="10"/>
    </row>
    <row r="58" spans="1:4" ht="12">
      <c r="A58" s="5" t="s">
        <v>20</v>
      </c>
      <c r="B58" s="179">
        <v>783</v>
      </c>
      <c r="C58" s="179">
        <v>861.75</v>
      </c>
      <c r="D58" s="10"/>
    </row>
    <row r="59" spans="1:4" ht="12">
      <c r="A59" s="5" t="s">
        <v>21</v>
      </c>
      <c r="B59" s="275">
        <v>325.09</v>
      </c>
      <c r="C59" s="275">
        <v>358.633</v>
      </c>
      <c r="D59" s="10"/>
    </row>
    <row r="60" spans="1:9" ht="12">
      <c r="A60" s="5" t="s">
        <v>22</v>
      </c>
      <c r="B60" s="179">
        <v>398.32</v>
      </c>
      <c r="C60" s="179">
        <v>439.381</v>
      </c>
      <c r="D60" s="10"/>
      <c r="G60" s="9"/>
      <c r="I60" s="9"/>
    </row>
    <row r="61" spans="1:9" ht="12">
      <c r="A61" s="5" t="s">
        <v>23</v>
      </c>
      <c r="B61" s="179">
        <v>10.03</v>
      </c>
      <c r="C61" s="179">
        <v>10.03</v>
      </c>
      <c r="D61" s="10"/>
      <c r="G61" s="9"/>
      <c r="I61" s="9"/>
    </row>
    <row r="62" spans="1:3" ht="12">
      <c r="A62" s="5" t="s">
        <v>24</v>
      </c>
      <c r="B62" s="179">
        <v>46.77</v>
      </c>
      <c r="C62" s="179">
        <v>49.18</v>
      </c>
    </row>
    <row r="63" spans="1:3" ht="12">
      <c r="A63" s="5" t="s">
        <v>25</v>
      </c>
      <c r="B63" s="179">
        <v>2.79</v>
      </c>
      <c r="C63" s="179">
        <v>2.964</v>
      </c>
    </row>
    <row r="64" spans="1:3" ht="12">
      <c r="A64" s="5"/>
      <c r="B64" s="179"/>
      <c r="C64" s="179"/>
    </row>
    <row r="65" spans="1:3" ht="12">
      <c r="A65" s="6" t="s">
        <v>26</v>
      </c>
      <c r="B65" s="179"/>
      <c r="C65" s="179"/>
    </row>
    <row r="66" spans="1:4" ht="12">
      <c r="A66" s="5"/>
      <c r="B66" s="179"/>
      <c r="C66" s="179"/>
      <c r="D66" s="8"/>
    </row>
    <row r="67" spans="1:4" ht="12">
      <c r="A67" s="5" t="s">
        <v>17</v>
      </c>
      <c r="B67" s="179">
        <v>2.09</v>
      </c>
      <c r="C67" s="179">
        <v>0.830874</v>
      </c>
      <c r="D67" s="8"/>
    </row>
    <row r="68" spans="1:4" ht="12">
      <c r="A68" s="5" t="s">
        <v>18</v>
      </c>
      <c r="B68" s="179">
        <v>21.2</v>
      </c>
      <c r="C68" s="179">
        <v>10.274089</v>
      </c>
      <c r="D68" s="9"/>
    </row>
    <row r="69" spans="1:4" ht="12">
      <c r="A69" s="5" t="s">
        <v>19</v>
      </c>
      <c r="B69" s="179">
        <v>159.52</v>
      </c>
      <c r="C69" s="179">
        <v>154.42</v>
      </c>
      <c r="D69" s="9"/>
    </row>
    <row r="70" spans="1:4" ht="12">
      <c r="A70" s="5" t="s">
        <v>20</v>
      </c>
      <c r="B70" s="50">
        <v>5.78</v>
      </c>
      <c r="C70" s="50">
        <v>5.666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4.52</v>
      </c>
      <c r="C72" s="33">
        <v>4.405</v>
      </c>
      <c r="D72" s="9"/>
    </row>
    <row r="73" spans="1:3" ht="12">
      <c r="A73" s="5" t="s">
        <v>23</v>
      </c>
      <c r="B73" s="33">
        <v>1.21</v>
      </c>
      <c r="C73" s="33">
        <v>1.221</v>
      </c>
    </row>
    <row r="74" spans="1:3" ht="12">
      <c r="A74" s="5" t="s">
        <v>24</v>
      </c>
      <c r="B74" s="33">
        <v>0.48</v>
      </c>
      <c r="C74" s="33">
        <v>0.4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138</v>
      </c>
      <c r="B77" s="33"/>
      <c r="C77" s="33"/>
    </row>
    <row r="78" spans="1:3" ht="12">
      <c r="A78" s="5" t="s">
        <v>139</v>
      </c>
      <c r="B78" s="33">
        <v>538.55</v>
      </c>
      <c r="C78" s="33">
        <v>55.838</v>
      </c>
    </row>
    <row r="79" spans="1:3" ht="12">
      <c r="A79" s="5" t="s">
        <v>20</v>
      </c>
      <c r="B79" s="33">
        <v>6.36</v>
      </c>
      <c r="C79" s="33">
        <v>6.875</v>
      </c>
    </row>
    <row r="80" spans="1:3" ht="12.75" thickBot="1">
      <c r="A80" s="5"/>
      <c r="B80" s="33"/>
      <c r="C80" s="33"/>
    </row>
    <row r="81" spans="1:3" ht="12.75" thickBot="1">
      <c r="A81" s="3" t="s">
        <v>81</v>
      </c>
      <c r="B81" s="47">
        <f>B51</f>
        <v>39967</v>
      </c>
      <c r="C81" s="47">
        <f>C51</f>
        <v>39998</v>
      </c>
    </row>
    <row r="82" spans="1:3" ht="12">
      <c r="A82" s="5"/>
      <c r="B82" s="105"/>
      <c r="C82" s="105"/>
    </row>
    <row r="83" spans="1:3" ht="12">
      <c r="A83" s="5" t="s">
        <v>27</v>
      </c>
      <c r="B83" s="103">
        <v>9.1</v>
      </c>
      <c r="C83" s="103">
        <v>7.5</v>
      </c>
    </row>
    <row r="84" spans="1:3" ht="12">
      <c r="A84" s="5" t="s">
        <v>28</v>
      </c>
      <c r="B84" s="103">
        <v>4.8</v>
      </c>
      <c r="C84" s="103">
        <v>5.6</v>
      </c>
    </row>
    <row r="85" spans="1:3" ht="12.75" thickBot="1">
      <c r="A85" s="11" t="s">
        <v>29</v>
      </c>
      <c r="B85" s="52">
        <v>0.4</v>
      </c>
      <c r="C85" s="52">
        <v>0.8</v>
      </c>
    </row>
    <row r="86" ht="12">
      <c r="A86" s="2" t="s">
        <v>108</v>
      </c>
    </row>
    <row r="87" ht="12">
      <c r="A87" s="2" t="s">
        <v>115</v>
      </c>
    </row>
  </sheetData>
  <sheetProtection/>
  <printOptions horizontalCentered="1"/>
  <pageMargins left="0.5" right="0.5" top="0.61" bottom="0.74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105"/>
  <sheetViews>
    <sheetView showGridLines="0" zoomScale="80" zoomScaleNormal="80" zoomScaleSheetLayoutView="75" zoomScalePageLayoutView="0" workbookViewId="0" topLeftCell="A55">
      <selection activeCell="L67" sqref="L67"/>
    </sheetView>
  </sheetViews>
  <sheetFormatPr defaultColWidth="9.140625" defaultRowHeight="12"/>
  <cols>
    <col min="1" max="1" width="3.421875" style="0" customWidth="1"/>
  </cols>
  <sheetData>
    <row r="2" spans="4:14" ht="15.75">
      <c r="D2" s="313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2:12" ht="20.25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6" ht="20.25">
      <c r="A4" s="14"/>
      <c r="B4" s="315" t="s">
        <v>109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14"/>
      <c r="N4" s="14"/>
      <c r="O4" s="14"/>
      <c r="P4" s="14"/>
    </row>
    <row r="5" spans="1:16" ht="18">
      <c r="A5" s="14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5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28"/>
      <c r="C27" s="101"/>
      <c r="D27" s="9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0.25">
      <c r="A33" s="14"/>
      <c r="B33" s="315" t="s">
        <v>136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M37" s="14"/>
      <c r="N37" s="14"/>
      <c r="O37" s="14"/>
      <c r="P37" s="14"/>
    </row>
    <row r="38" spans="1:16" ht="15">
      <c r="A38" s="14"/>
      <c r="M38" s="14"/>
      <c r="N38" s="14"/>
      <c r="O38" s="14"/>
      <c r="P38" s="14"/>
    </row>
    <row r="39" spans="13:16" ht="15">
      <c r="M39" s="14"/>
      <c r="N39" s="14"/>
      <c r="O39" s="14"/>
      <c r="P39" s="14"/>
    </row>
    <row r="40" spans="1:16" ht="15">
      <c r="A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">
      <c r="A55" s="14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M57" s="14"/>
      <c r="N57" s="14"/>
      <c r="O57" s="14"/>
      <c r="P57" s="14"/>
    </row>
    <row r="58" spans="1:16" ht="15">
      <c r="A58" s="14"/>
      <c r="M58" s="14"/>
      <c r="N58" s="14"/>
      <c r="O58" s="14"/>
      <c r="P58" s="14"/>
    </row>
    <row r="65" ht="15">
      <c r="B65" s="127" t="s">
        <v>105</v>
      </c>
    </row>
    <row r="69" spans="2:12" ht="20.25">
      <c r="B69" s="311" t="s">
        <v>163</v>
      </c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97" spans="3:5" ht="11.25">
      <c r="C97" s="129"/>
      <c r="D97" s="129"/>
      <c r="E97" s="129"/>
    </row>
    <row r="105" ht="15">
      <c r="B105" s="127" t="s">
        <v>106</v>
      </c>
    </row>
  </sheetData>
  <sheetProtection/>
  <mergeCells count="6">
    <mergeCell ref="A7:J7"/>
    <mergeCell ref="B69:L69"/>
    <mergeCell ref="D2:N2"/>
    <mergeCell ref="B4:L4"/>
    <mergeCell ref="B3:L3"/>
    <mergeCell ref="B33:L33"/>
  </mergeCells>
  <printOptions horizontalCentered="1"/>
  <pageMargins left="0.17" right="0.6" top="0.42" bottom="0.5" header="0.44" footer="0.5"/>
  <pageSetup fitToWidth="2" fitToHeight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B22"/>
  <sheetViews>
    <sheetView showGridLines="0" tabSelected="1" zoomScale="90" zoomScaleNormal="90" zoomScaleSheetLayoutView="75" zoomScalePageLayoutView="0" workbookViewId="0" topLeftCell="A1">
      <pane xSplit="59" ySplit="4" topLeftCell="BH6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X23" sqref="BX23"/>
    </sheetView>
  </sheetViews>
  <sheetFormatPr defaultColWidth="9.140625" defaultRowHeight="19.5" customHeight="1"/>
  <cols>
    <col min="1" max="1" width="4.7109375" style="31" customWidth="1"/>
    <col min="2" max="2" width="54.42187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hidden="1" customWidth="1"/>
    <col min="70" max="70" width="13.421875" style="31" hidden="1" customWidth="1"/>
    <col min="71" max="71" width="13.7109375" style="31" hidden="1" customWidth="1"/>
    <col min="72" max="73" width="14.00390625" style="31" hidden="1" customWidth="1"/>
    <col min="74" max="74" width="14.7109375" style="31" customWidth="1"/>
    <col min="75" max="75" width="13.7109375" style="31" bestFit="1" customWidth="1"/>
    <col min="76" max="76" width="15.421875" style="31" customWidth="1"/>
    <col min="77" max="78" width="13.7109375" style="31" customWidth="1"/>
    <col min="79" max="79" width="13.7109375" style="31" bestFit="1" customWidth="1"/>
    <col min="80" max="80" width="13.8515625" style="31" customWidth="1"/>
    <col min="81" max="16384" width="9.140625" style="31" customWidth="1"/>
  </cols>
  <sheetData>
    <row r="2" spans="1:48" ht="19.5" customHeight="1">
      <c r="A2" s="143"/>
      <c r="B2" s="144" t="s">
        <v>124</v>
      </c>
      <c r="C2" s="145"/>
      <c r="D2" s="145"/>
      <c r="E2" s="145"/>
      <c r="F2" s="146"/>
      <c r="G2" s="147"/>
      <c r="H2" s="146"/>
      <c r="I2" s="147"/>
      <c r="J2" s="147"/>
      <c r="K2" s="146"/>
      <c r="L2" s="146"/>
      <c r="M2" s="147"/>
      <c r="N2" s="147"/>
      <c r="O2" s="148"/>
      <c r="P2" s="147"/>
      <c r="Q2" s="146"/>
      <c r="R2" s="147"/>
      <c r="S2" s="147"/>
      <c r="T2" s="149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62" ht="19.5" customHeight="1" thickBot="1">
      <c r="A3" s="143"/>
      <c r="B3" s="134"/>
      <c r="C3" s="134"/>
      <c r="D3" s="134"/>
      <c r="E3" s="134"/>
      <c r="F3" s="135"/>
      <c r="G3" s="135"/>
      <c r="H3" s="135"/>
      <c r="I3" s="136"/>
      <c r="J3" s="136"/>
      <c r="K3" s="135"/>
      <c r="L3" s="135"/>
      <c r="M3" s="136"/>
      <c r="N3" s="136"/>
      <c r="O3" s="137"/>
      <c r="P3" s="136"/>
      <c r="Q3" s="135"/>
      <c r="R3" s="136"/>
      <c r="S3" s="136"/>
      <c r="T3" s="138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0" ht="19.5" customHeight="1" thickBot="1">
      <c r="A4" s="143"/>
      <c r="B4" s="171"/>
      <c r="C4" s="132">
        <v>37655</v>
      </c>
      <c r="D4" s="132">
        <v>37681</v>
      </c>
      <c r="E4" s="132">
        <v>37712</v>
      </c>
      <c r="F4" s="132">
        <v>37742</v>
      </c>
      <c r="G4" s="132">
        <v>37773</v>
      </c>
      <c r="H4" s="132">
        <v>37803</v>
      </c>
      <c r="I4" s="132">
        <v>37834</v>
      </c>
      <c r="J4" s="132">
        <v>37865</v>
      </c>
      <c r="K4" s="132">
        <v>37895</v>
      </c>
      <c r="L4" s="132">
        <v>37926</v>
      </c>
      <c r="M4" s="132">
        <v>37956</v>
      </c>
      <c r="N4" s="132">
        <v>37987</v>
      </c>
      <c r="O4" s="133">
        <v>38018</v>
      </c>
      <c r="P4" s="132">
        <v>38047</v>
      </c>
      <c r="Q4" s="132">
        <v>38078</v>
      </c>
      <c r="R4" s="132">
        <v>38108</v>
      </c>
      <c r="S4" s="132">
        <v>38139</v>
      </c>
      <c r="T4" s="132">
        <v>38169</v>
      </c>
      <c r="U4" s="132">
        <v>38200</v>
      </c>
      <c r="V4" s="132">
        <v>38231</v>
      </c>
      <c r="W4" s="132">
        <v>38261</v>
      </c>
      <c r="X4" s="132">
        <v>38292</v>
      </c>
      <c r="Y4" s="132">
        <v>38322</v>
      </c>
      <c r="Z4" s="132">
        <v>38353</v>
      </c>
      <c r="AA4" s="132">
        <v>38384</v>
      </c>
      <c r="AB4" s="132">
        <v>38412</v>
      </c>
      <c r="AC4" s="132">
        <v>38443</v>
      </c>
      <c r="AD4" s="132">
        <v>38473</v>
      </c>
      <c r="AE4" s="132">
        <v>38504</v>
      </c>
      <c r="AF4" s="132">
        <v>38534</v>
      </c>
      <c r="AG4" s="132">
        <v>38565</v>
      </c>
      <c r="AH4" s="132">
        <v>38596</v>
      </c>
      <c r="AI4" s="132">
        <v>38626</v>
      </c>
      <c r="AJ4" s="132">
        <v>38657</v>
      </c>
      <c r="AK4" s="132">
        <v>38687</v>
      </c>
      <c r="AL4" s="132">
        <v>38718</v>
      </c>
      <c r="AM4" s="132">
        <v>38749</v>
      </c>
      <c r="AN4" s="132">
        <v>38777</v>
      </c>
      <c r="AO4" s="132">
        <v>38808</v>
      </c>
      <c r="AP4" s="132">
        <v>38838</v>
      </c>
      <c r="AQ4" s="132">
        <v>38869</v>
      </c>
      <c r="AR4" s="132">
        <v>38929</v>
      </c>
      <c r="AS4" s="132">
        <v>38960</v>
      </c>
      <c r="AT4" s="132">
        <v>38990</v>
      </c>
      <c r="AU4" s="132">
        <v>39021</v>
      </c>
      <c r="AV4" s="132">
        <v>39051</v>
      </c>
      <c r="AW4" s="132">
        <v>39082</v>
      </c>
      <c r="AX4" s="180">
        <v>39113</v>
      </c>
      <c r="AY4" s="180">
        <v>39141</v>
      </c>
      <c r="AZ4" s="180">
        <v>39172</v>
      </c>
      <c r="BA4" s="180">
        <v>39202</v>
      </c>
      <c r="BB4" s="180">
        <v>39233</v>
      </c>
      <c r="BC4" s="180">
        <v>39263</v>
      </c>
      <c r="BD4" s="180">
        <v>39294</v>
      </c>
      <c r="BE4" s="180">
        <v>39325</v>
      </c>
      <c r="BF4" s="180">
        <v>39355</v>
      </c>
      <c r="BG4" s="180">
        <v>39386</v>
      </c>
      <c r="BH4" s="180">
        <v>39416</v>
      </c>
      <c r="BI4" s="180">
        <v>39447</v>
      </c>
      <c r="BJ4" s="180">
        <v>39478</v>
      </c>
      <c r="BK4" s="180">
        <v>39507</v>
      </c>
      <c r="BL4" s="180">
        <v>39538</v>
      </c>
      <c r="BM4" s="180">
        <v>39568</v>
      </c>
      <c r="BN4" s="180">
        <v>39599</v>
      </c>
      <c r="BO4" s="180">
        <v>39629</v>
      </c>
      <c r="BP4" s="180">
        <v>39660</v>
      </c>
      <c r="BQ4" s="180">
        <v>39691</v>
      </c>
      <c r="BR4" s="180">
        <v>39721</v>
      </c>
      <c r="BS4" s="180">
        <v>39752</v>
      </c>
      <c r="BT4" s="180">
        <v>39782</v>
      </c>
      <c r="BU4" s="180">
        <v>39813</v>
      </c>
      <c r="BV4" s="180">
        <v>39844</v>
      </c>
      <c r="BW4" s="180">
        <v>39872</v>
      </c>
      <c r="BX4" s="180">
        <v>39903</v>
      </c>
      <c r="BY4" s="180">
        <v>39933</v>
      </c>
      <c r="BZ4" s="180">
        <v>39964</v>
      </c>
      <c r="CA4" s="180">
        <v>39994</v>
      </c>
      <c r="CB4" s="180">
        <v>40025</v>
      </c>
    </row>
    <row r="5" spans="1:80" ht="19.5" customHeight="1">
      <c r="A5" s="170"/>
      <c r="B5" s="63" t="s">
        <v>83</v>
      </c>
      <c r="C5" s="64"/>
      <c r="D5" s="64"/>
      <c r="E5" s="65"/>
      <c r="F5" s="66"/>
      <c r="G5" s="66"/>
      <c r="H5" s="66"/>
      <c r="I5" s="66"/>
      <c r="J5" s="66"/>
      <c r="K5" s="66"/>
      <c r="L5" s="66"/>
      <c r="M5" s="67"/>
      <c r="N5" s="66"/>
      <c r="O5" s="68"/>
      <c r="P5" s="69"/>
      <c r="Q5" s="66"/>
      <c r="R5" s="69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9.5" customHeight="1">
      <c r="A6" s="143"/>
      <c r="B6" s="63"/>
      <c r="C6" s="64"/>
      <c r="D6" s="64"/>
      <c r="E6" s="65"/>
      <c r="F6" s="66"/>
      <c r="G6" s="66"/>
      <c r="H6" s="66"/>
      <c r="I6" s="66"/>
      <c r="J6" s="66"/>
      <c r="K6" s="66"/>
      <c r="L6" s="66"/>
      <c r="M6" s="67"/>
      <c r="N6" s="66"/>
      <c r="O6" s="68"/>
      <c r="P6" s="69"/>
      <c r="Q6" s="66"/>
      <c r="R6" s="69"/>
      <c r="S6" s="69"/>
      <c r="T6" s="70"/>
      <c r="U6" s="69"/>
      <c r="V6" s="69"/>
      <c r="W6" s="69"/>
      <c r="X6" s="69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</row>
    <row r="7" spans="2:80" ht="19.5" customHeight="1">
      <c r="B7" s="63" t="s">
        <v>112</v>
      </c>
      <c r="C7" s="71">
        <v>2595.44027685</v>
      </c>
      <c r="D7" s="71">
        <v>2187.8368766900003</v>
      </c>
      <c r="E7" s="71">
        <v>2272.4872471500003</v>
      </c>
      <c r="F7" s="72">
        <v>2113.36340838</v>
      </c>
      <c r="G7" s="72">
        <v>2165.8</v>
      </c>
      <c r="H7" s="73">
        <v>2129.6</v>
      </c>
      <c r="I7" s="66">
        <v>1891</v>
      </c>
      <c r="J7" s="72">
        <v>2181.2</v>
      </c>
      <c r="K7" s="72">
        <v>2467.9</v>
      </c>
      <c r="L7" s="72">
        <v>2091</v>
      </c>
      <c r="M7" s="74">
        <v>2110.3</v>
      </c>
      <c r="N7" s="72">
        <v>2710.8702829799995</v>
      </c>
      <c r="O7" s="75">
        <v>1935.4129830699999</v>
      </c>
      <c r="P7" s="76">
        <v>1824.1042653499997</v>
      </c>
      <c r="Q7" s="66">
        <v>2395.6</v>
      </c>
      <c r="R7" s="66">
        <v>1860.4</v>
      </c>
      <c r="S7" s="66">
        <v>1783.2</v>
      </c>
      <c r="T7" s="66">
        <v>1984.6</v>
      </c>
      <c r="U7" s="66">
        <v>1989.9</v>
      </c>
      <c r="V7" s="66">
        <v>1808.2</v>
      </c>
      <c r="W7" s="66">
        <v>2207.6</v>
      </c>
      <c r="X7" s="66">
        <v>1987.9</v>
      </c>
      <c r="Y7" s="66">
        <v>1977.3</v>
      </c>
      <c r="Z7" s="66">
        <v>2327.5</v>
      </c>
      <c r="AA7" s="66">
        <v>2029.5</v>
      </c>
      <c r="AB7" s="66">
        <v>1912.6</v>
      </c>
      <c r="AC7" s="66">
        <v>2303.8</v>
      </c>
      <c r="AD7" s="66">
        <v>2107.1</v>
      </c>
      <c r="AE7" s="66">
        <v>1874.1</v>
      </c>
      <c r="AF7" s="66">
        <v>2354.7</v>
      </c>
      <c r="AG7" s="66">
        <v>2159.1</v>
      </c>
      <c r="AH7" s="66">
        <v>1818.2</v>
      </c>
      <c r="AI7" s="72">
        <v>2245</v>
      </c>
      <c r="AJ7" s="72">
        <v>1902.22246</v>
      </c>
      <c r="AK7" s="72">
        <v>1983.9</v>
      </c>
      <c r="AL7" s="72">
        <v>2705.5</v>
      </c>
      <c r="AM7" s="72">
        <v>2696</v>
      </c>
      <c r="AN7" s="72">
        <v>2458.1</v>
      </c>
      <c r="AO7" s="72">
        <v>3129.7</v>
      </c>
      <c r="AP7" s="72">
        <v>2973</v>
      </c>
      <c r="AQ7" s="72">
        <v>2677.9</v>
      </c>
      <c r="AR7" s="72">
        <v>3313.1</v>
      </c>
      <c r="AS7" s="72">
        <v>2760.7</v>
      </c>
      <c r="AT7" s="72">
        <v>3119.2</v>
      </c>
      <c r="AU7" s="72">
        <v>4104.4</v>
      </c>
      <c r="AV7" s="72">
        <v>3495.2</v>
      </c>
      <c r="AW7" s="72">
        <v>3164.3</v>
      </c>
      <c r="AX7" s="72">
        <v>4865.6</v>
      </c>
      <c r="AY7" s="72">
        <v>4466.4</v>
      </c>
      <c r="AZ7" s="72">
        <v>5690</v>
      </c>
      <c r="BA7" s="72">
        <v>6260.1</v>
      </c>
      <c r="BB7" s="252">
        <v>5643.8</v>
      </c>
      <c r="BC7" s="258">
        <v>6085.3</v>
      </c>
      <c r="BD7" s="258">
        <v>7455.9</v>
      </c>
      <c r="BE7" s="258">
        <v>6359</v>
      </c>
      <c r="BF7" s="258">
        <v>5868.650081049999</v>
      </c>
      <c r="BG7" s="258">
        <v>6499.853570999999</v>
      </c>
      <c r="BH7" s="258">
        <v>6257.02633294</v>
      </c>
      <c r="BI7" s="258">
        <v>6743.949222620002</v>
      </c>
      <c r="BJ7" s="258">
        <v>8497.90853458</v>
      </c>
      <c r="BK7" s="258">
        <v>8656.654479950002</v>
      </c>
      <c r="BL7" s="258">
        <v>8900.78</v>
      </c>
      <c r="BM7" s="258">
        <v>9949.63092274</v>
      </c>
      <c r="BN7" s="258">
        <v>9441.90025126</v>
      </c>
      <c r="BO7" s="258">
        <v>9697.814715469998</v>
      </c>
      <c r="BP7" s="258">
        <v>11758.2039831</v>
      </c>
      <c r="BQ7" s="258">
        <v>10730.849802119998</v>
      </c>
      <c r="BR7" s="258">
        <v>10942.098551590001</v>
      </c>
      <c r="BS7" s="258">
        <v>13805.317071959998</v>
      </c>
      <c r="BT7" s="258">
        <v>12725.77199603</v>
      </c>
      <c r="BU7" s="264">
        <v>12857.52677013</v>
      </c>
      <c r="BV7" s="264">
        <v>14524</v>
      </c>
      <c r="BW7" s="264">
        <v>13779</v>
      </c>
      <c r="BX7" s="264">
        <v>14136.3</v>
      </c>
      <c r="BY7" s="264">
        <v>14561.206</v>
      </c>
      <c r="BZ7" s="264">
        <v>14205.63</v>
      </c>
      <c r="CA7" s="264">
        <v>13206.787</v>
      </c>
      <c r="CB7" s="264">
        <v>13706.835257</v>
      </c>
    </row>
    <row r="8" spans="2:80" ht="19.5" customHeight="1">
      <c r="B8" s="63" t="s">
        <v>30</v>
      </c>
      <c r="C8" s="77"/>
      <c r="D8" s="77">
        <f>D7-C7</f>
        <v>-407.60340015999964</v>
      </c>
      <c r="E8" s="77">
        <f>E7-D7</f>
        <v>84.65037045999998</v>
      </c>
      <c r="F8" s="77">
        <f>F7-E7</f>
        <v>-159.12383877000048</v>
      </c>
      <c r="G8" s="77">
        <f aca="true" t="shared" si="0" ref="G8:AG8">G7-F7</f>
        <v>52.4365916200004</v>
      </c>
      <c r="H8" s="77">
        <f t="shared" si="0"/>
        <v>-36.20000000000027</v>
      </c>
      <c r="I8" s="77">
        <f t="shared" si="0"/>
        <v>-238.5999999999999</v>
      </c>
      <c r="J8" s="77">
        <f t="shared" si="0"/>
        <v>290.1999999999998</v>
      </c>
      <c r="K8" s="77">
        <f t="shared" si="0"/>
        <v>286.7000000000003</v>
      </c>
      <c r="L8" s="77">
        <f t="shared" si="0"/>
        <v>-376.9000000000001</v>
      </c>
      <c r="M8" s="77">
        <f t="shared" si="0"/>
        <v>19.300000000000182</v>
      </c>
      <c r="N8" s="77">
        <f t="shared" si="0"/>
        <v>600.5702829799993</v>
      </c>
      <c r="O8" s="78">
        <f t="shared" si="0"/>
        <v>-775.4572999099996</v>
      </c>
      <c r="P8" s="73">
        <f t="shared" si="0"/>
        <v>-111.30871772000023</v>
      </c>
      <c r="Q8" s="73">
        <f t="shared" si="0"/>
        <v>571.4957346500003</v>
      </c>
      <c r="R8" s="73">
        <f t="shared" si="0"/>
        <v>-535.1999999999998</v>
      </c>
      <c r="S8" s="73">
        <f t="shared" si="0"/>
        <v>-77.20000000000005</v>
      </c>
      <c r="T8" s="73">
        <f t="shared" si="0"/>
        <v>201.39999999999986</v>
      </c>
      <c r="U8" s="73">
        <f t="shared" si="0"/>
        <v>5.300000000000182</v>
      </c>
      <c r="V8" s="73">
        <f t="shared" si="0"/>
        <v>-181.70000000000005</v>
      </c>
      <c r="W8" s="73">
        <f t="shared" si="0"/>
        <v>399.39999999999986</v>
      </c>
      <c r="X8" s="73">
        <f t="shared" si="0"/>
        <v>-219.69999999999982</v>
      </c>
      <c r="Y8" s="73">
        <f t="shared" si="0"/>
        <v>-10.600000000000136</v>
      </c>
      <c r="Z8" s="73">
        <f t="shared" si="0"/>
        <v>350.20000000000005</v>
      </c>
      <c r="AA8" s="73">
        <f t="shared" si="0"/>
        <v>-298</v>
      </c>
      <c r="AB8" s="73">
        <f t="shared" si="0"/>
        <v>-116.90000000000009</v>
      </c>
      <c r="AC8" s="73">
        <f t="shared" si="0"/>
        <v>391.2000000000003</v>
      </c>
      <c r="AD8" s="73">
        <f t="shared" si="0"/>
        <v>-196.70000000000027</v>
      </c>
      <c r="AE8" s="73">
        <f t="shared" si="0"/>
        <v>-233</v>
      </c>
      <c r="AF8" s="73">
        <f t="shared" si="0"/>
        <v>480.5999999999999</v>
      </c>
      <c r="AG8" s="73">
        <f t="shared" si="0"/>
        <v>-195.5999999999999</v>
      </c>
      <c r="AH8" s="73">
        <f aca="true" t="shared" si="1" ref="AH8:BO8">AH7-AG7</f>
        <v>-340.89999999999986</v>
      </c>
      <c r="AI8" s="73">
        <f t="shared" si="1"/>
        <v>426.79999999999995</v>
      </c>
      <c r="AJ8" s="73">
        <f t="shared" si="1"/>
        <v>-342.77754000000004</v>
      </c>
      <c r="AK8" s="73">
        <f t="shared" si="1"/>
        <v>81.67754000000014</v>
      </c>
      <c r="AL8" s="73">
        <f t="shared" si="1"/>
        <v>721.5999999999999</v>
      </c>
      <c r="AM8" s="73">
        <f t="shared" si="1"/>
        <v>-9.5</v>
      </c>
      <c r="AN8" s="73">
        <f t="shared" si="1"/>
        <v>-237.9000000000001</v>
      </c>
      <c r="AO8" s="73">
        <f t="shared" si="1"/>
        <v>671.5999999999999</v>
      </c>
      <c r="AP8" s="73">
        <f t="shared" si="1"/>
        <v>-156.69999999999982</v>
      </c>
      <c r="AQ8" s="73">
        <f t="shared" si="1"/>
        <v>-295.0999999999999</v>
      </c>
      <c r="AR8" s="73">
        <f t="shared" si="1"/>
        <v>635.1999999999998</v>
      </c>
      <c r="AS8" s="73">
        <f t="shared" si="1"/>
        <v>-552.4000000000001</v>
      </c>
      <c r="AT8" s="73">
        <f t="shared" si="1"/>
        <v>358.5</v>
      </c>
      <c r="AU8" s="73">
        <f t="shared" si="1"/>
        <v>985.1999999999998</v>
      </c>
      <c r="AV8" s="73">
        <f t="shared" si="1"/>
        <v>-609.1999999999998</v>
      </c>
      <c r="AW8" s="73">
        <f t="shared" si="1"/>
        <v>-330.89999999999964</v>
      </c>
      <c r="AX8" s="73">
        <f t="shared" si="1"/>
        <v>1701.3000000000002</v>
      </c>
      <c r="AY8" s="73">
        <f t="shared" si="1"/>
        <v>-399.2000000000007</v>
      </c>
      <c r="AZ8" s="73">
        <f t="shared" si="1"/>
        <v>1223.6000000000004</v>
      </c>
      <c r="BA8" s="73">
        <f t="shared" si="1"/>
        <v>570.1000000000004</v>
      </c>
      <c r="BB8" s="253">
        <f t="shared" si="1"/>
        <v>-616.3000000000002</v>
      </c>
      <c r="BC8" s="259">
        <f t="shared" si="1"/>
        <v>441.5</v>
      </c>
      <c r="BD8" s="259">
        <f t="shared" si="1"/>
        <v>1370.5999999999995</v>
      </c>
      <c r="BE8" s="259">
        <f t="shared" si="1"/>
        <v>-1096.8999999999996</v>
      </c>
      <c r="BF8" s="259">
        <f t="shared" si="1"/>
        <v>-490.34991895000076</v>
      </c>
      <c r="BG8" s="259">
        <f t="shared" si="1"/>
        <v>631.2034899499995</v>
      </c>
      <c r="BH8" s="259">
        <f t="shared" si="1"/>
        <v>-242.8272380599983</v>
      </c>
      <c r="BI8" s="259">
        <f t="shared" si="1"/>
        <v>486.9228896800014</v>
      </c>
      <c r="BJ8" s="259">
        <f t="shared" si="1"/>
        <v>1753.9593119599976</v>
      </c>
      <c r="BK8" s="259">
        <f t="shared" si="1"/>
        <v>158.74594537000303</v>
      </c>
      <c r="BL8" s="259">
        <f t="shared" si="1"/>
        <v>244.12552004999816</v>
      </c>
      <c r="BM8" s="259">
        <f t="shared" si="1"/>
        <v>1048.850922739999</v>
      </c>
      <c r="BN8" s="259">
        <f t="shared" si="1"/>
        <v>-507.7306714799997</v>
      </c>
      <c r="BO8" s="259">
        <f t="shared" si="1"/>
        <v>255.9144642099982</v>
      </c>
      <c r="BP8" s="259">
        <f aca="true" t="shared" si="2" ref="BP8:BZ8">BP7-BO7</f>
        <v>2060.389267630002</v>
      </c>
      <c r="BQ8" s="259">
        <f t="shared" si="2"/>
        <v>-1027.3541809800026</v>
      </c>
      <c r="BR8" s="259">
        <f t="shared" si="2"/>
        <v>211.24874947000353</v>
      </c>
      <c r="BS8" s="259">
        <f t="shared" si="2"/>
        <v>2863.2185203699973</v>
      </c>
      <c r="BT8" s="259">
        <f t="shared" si="2"/>
        <v>-1079.5450759299983</v>
      </c>
      <c r="BU8" s="264">
        <f t="shared" si="2"/>
        <v>131.75477409999985</v>
      </c>
      <c r="BV8" s="264">
        <f t="shared" si="2"/>
        <v>1666.47322987</v>
      </c>
      <c r="BW8" s="269">
        <f t="shared" si="2"/>
        <v>-745</v>
      </c>
      <c r="BX8" s="272">
        <f t="shared" si="2"/>
        <v>357.2999999999993</v>
      </c>
      <c r="BY8" s="272">
        <f t="shared" si="2"/>
        <v>424.90600000000086</v>
      </c>
      <c r="BZ8" s="274">
        <f t="shared" si="2"/>
        <v>-355.57600000000093</v>
      </c>
      <c r="CA8" s="274">
        <v>-998.84</v>
      </c>
      <c r="CB8" s="274">
        <v>-997.84</v>
      </c>
    </row>
    <row r="9" spans="2:80" ht="19.5" customHeight="1">
      <c r="B9" s="63"/>
      <c r="C9" s="64"/>
      <c r="D9" s="64"/>
      <c r="E9" s="64"/>
      <c r="F9" s="66"/>
      <c r="G9" s="66"/>
      <c r="H9" s="66"/>
      <c r="I9" s="66"/>
      <c r="J9" s="66"/>
      <c r="K9" s="66"/>
      <c r="L9" s="66"/>
      <c r="M9" s="67"/>
      <c r="N9" s="66"/>
      <c r="O9" s="68"/>
      <c r="P9" s="69"/>
      <c r="Q9" s="66"/>
      <c r="R9" s="69"/>
      <c r="S9" s="69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65"/>
      <c r="BV9" s="265"/>
      <c r="BW9" s="264"/>
      <c r="BX9" s="264"/>
      <c r="BY9" s="264"/>
      <c r="BZ9" s="264"/>
      <c r="CA9" s="264"/>
      <c r="CB9" s="264"/>
    </row>
    <row r="10" spans="2:80" ht="19.5" customHeight="1">
      <c r="B10" s="63" t="s">
        <v>43</v>
      </c>
      <c r="C10" s="64"/>
      <c r="D10" s="64"/>
      <c r="E10" s="64"/>
      <c r="F10" s="66"/>
      <c r="G10" s="66"/>
      <c r="H10" s="66"/>
      <c r="I10" s="66"/>
      <c r="J10" s="66"/>
      <c r="K10" s="66"/>
      <c r="L10" s="66"/>
      <c r="M10" s="67"/>
      <c r="N10" s="66"/>
      <c r="O10" s="68"/>
      <c r="P10" s="69"/>
      <c r="Q10" s="66"/>
      <c r="R10" s="69"/>
      <c r="S10" s="69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65"/>
      <c r="BV10" s="265"/>
      <c r="BW10" s="264"/>
      <c r="BX10" s="264"/>
      <c r="BY10" s="264"/>
      <c r="BZ10" s="264"/>
      <c r="CA10" s="264"/>
      <c r="CB10" s="264"/>
    </row>
    <row r="11" spans="2:80" ht="19.5" customHeight="1">
      <c r="B11" s="63"/>
      <c r="C11" s="64"/>
      <c r="D11" s="64"/>
      <c r="E11" s="64"/>
      <c r="F11" s="66"/>
      <c r="G11" s="66"/>
      <c r="H11" s="66"/>
      <c r="I11" s="66"/>
      <c r="J11" s="66"/>
      <c r="K11" s="66"/>
      <c r="L11" s="66"/>
      <c r="M11" s="67"/>
      <c r="N11" s="66"/>
      <c r="O11" s="68"/>
      <c r="P11" s="69"/>
      <c r="Q11" s="66"/>
      <c r="R11" s="69"/>
      <c r="S11" s="69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65"/>
      <c r="BV11" s="265"/>
      <c r="BW11" s="264"/>
      <c r="BX11" s="264"/>
      <c r="BY11" s="264"/>
      <c r="BZ11" s="264"/>
      <c r="CA11" s="264"/>
      <c r="CB11" s="264"/>
    </row>
    <row r="12" spans="2:80" ht="19.5" customHeight="1">
      <c r="B12" s="63" t="s">
        <v>31</v>
      </c>
      <c r="C12" s="64"/>
      <c r="D12" s="64">
        <v>8.0439</v>
      </c>
      <c r="E12" s="64">
        <v>7.7068</v>
      </c>
      <c r="F12" s="79">
        <v>7.6652</v>
      </c>
      <c r="G12" s="79">
        <v>7.9027</v>
      </c>
      <c r="H12" s="79">
        <v>7.5401</v>
      </c>
      <c r="I12" s="66">
        <v>7.3922</v>
      </c>
      <c r="J12" s="66">
        <v>7.3246</v>
      </c>
      <c r="K12" s="66">
        <v>6.9637</v>
      </c>
      <c r="L12" s="66">
        <v>6.7287</v>
      </c>
      <c r="M12" s="67">
        <v>6.5159</v>
      </c>
      <c r="N12" s="66">
        <v>6.9179</v>
      </c>
      <c r="O12" s="67">
        <v>6.7686</v>
      </c>
      <c r="P12" s="66">
        <v>6.6633</v>
      </c>
      <c r="Q12" s="66">
        <v>6.5537</v>
      </c>
      <c r="R12" s="66">
        <v>6.7821</v>
      </c>
      <c r="S12" s="66">
        <v>6.4381</v>
      </c>
      <c r="T12" s="80">
        <v>6.1287</v>
      </c>
      <c r="U12" s="66">
        <v>6.4575</v>
      </c>
      <c r="V12" s="66">
        <v>6.5469</v>
      </c>
      <c r="W12" s="66">
        <v>6.3876</v>
      </c>
      <c r="X12" s="66">
        <v>6.0558</v>
      </c>
      <c r="Y12" s="66">
        <v>5.7323</v>
      </c>
      <c r="Z12" s="66">
        <v>5.9698</v>
      </c>
      <c r="AA12" s="66">
        <v>6.0161</v>
      </c>
      <c r="AB12" s="66">
        <v>6.323</v>
      </c>
      <c r="AC12" s="66">
        <v>6.1521</v>
      </c>
      <c r="AD12" s="66">
        <v>6.3314</v>
      </c>
      <c r="AE12" s="80">
        <v>6.75</v>
      </c>
      <c r="AF12" s="80">
        <v>6.7035</v>
      </c>
      <c r="AG12" s="80">
        <v>6.465</v>
      </c>
      <c r="AH12" s="80">
        <v>6.3578</v>
      </c>
      <c r="AI12" s="80">
        <v>6.5766</v>
      </c>
      <c r="AJ12" s="80">
        <v>6.521</v>
      </c>
      <c r="AK12" s="80">
        <v>6.3591</v>
      </c>
      <c r="AL12" s="80">
        <v>6.0891</v>
      </c>
      <c r="AM12" s="80">
        <v>6.1177</v>
      </c>
      <c r="AN12" s="80">
        <v>6.2544</v>
      </c>
      <c r="AO12" s="80">
        <v>6.072</v>
      </c>
      <c r="AP12" s="80">
        <v>6.3199</v>
      </c>
      <c r="AQ12" s="80">
        <v>6.9549</v>
      </c>
      <c r="AR12" s="80">
        <v>7.0843</v>
      </c>
      <c r="AS12" s="80">
        <v>6.9553</v>
      </c>
      <c r="AT12" s="80">
        <v>7.4098</v>
      </c>
      <c r="AU12" s="80">
        <v>7.6492</v>
      </c>
      <c r="AV12" s="80">
        <v>7.2586</v>
      </c>
      <c r="AW12" s="80">
        <v>7.0406</v>
      </c>
      <c r="AX12" s="80">
        <v>7.1838</v>
      </c>
      <c r="AY12" s="80">
        <v>7.1698</v>
      </c>
      <c r="AZ12" s="80">
        <v>7.3514</v>
      </c>
      <c r="BA12" s="80">
        <v>7.1216</v>
      </c>
      <c r="BB12" s="255">
        <v>7.0187</v>
      </c>
      <c r="BC12" s="255">
        <v>7.1718</v>
      </c>
      <c r="BD12" s="255">
        <v>6.973</v>
      </c>
      <c r="BE12" s="255">
        <v>7.2334</v>
      </c>
      <c r="BF12" s="255">
        <v>7.1282</v>
      </c>
      <c r="BG12" s="255">
        <v>6.7729</v>
      </c>
      <c r="BH12" s="255">
        <v>6.701</v>
      </c>
      <c r="BI12" s="255">
        <v>6.8271</v>
      </c>
      <c r="BJ12" s="255">
        <v>6.9874</v>
      </c>
      <c r="BK12" s="255">
        <v>7.6386</v>
      </c>
      <c r="BL12" s="255">
        <v>7.9799</v>
      </c>
      <c r="BM12" s="255">
        <v>7.7933</v>
      </c>
      <c r="BN12" s="255">
        <v>7.6238</v>
      </c>
      <c r="BO12" s="255">
        <v>7.9188</v>
      </c>
      <c r="BP12" s="255">
        <v>7.6393</v>
      </c>
      <c r="BQ12" s="255">
        <v>7.6578</v>
      </c>
      <c r="BR12" s="255">
        <v>8.0472</v>
      </c>
      <c r="BS12" s="255">
        <v>9.6715</v>
      </c>
      <c r="BT12" s="255">
        <v>10.1177</v>
      </c>
      <c r="BU12" s="266">
        <v>9.9456</v>
      </c>
      <c r="BV12" s="266">
        <v>9.897</v>
      </c>
      <c r="BW12" s="270">
        <v>10.0062</v>
      </c>
      <c r="BX12" s="270">
        <v>9.9932</v>
      </c>
      <c r="BY12" s="270">
        <v>9.018</v>
      </c>
      <c r="BZ12" s="270">
        <v>8.3723</v>
      </c>
      <c r="CA12" s="270">
        <v>8.0518</v>
      </c>
      <c r="CB12" s="270">
        <v>7.9513</v>
      </c>
    </row>
    <row r="13" spans="2:80" ht="19.5" customHeight="1">
      <c r="B13" s="63" t="s">
        <v>32</v>
      </c>
      <c r="C13" s="81"/>
      <c r="D13" s="81">
        <f>1/8.0439</f>
        <v>0.124317806039359</v>
      </c>
      <c r="E13" s="81">
        <f>1/7.7068</f>
        <v>0.12975554056158198</v>
      </c>
      <c r="F13" s="82">
        <f>1/7.6652</f>
        <v>0.13045974012419767</v>
      </c>
      <c r="G13" s="82">
        <f>1/7.9027</f>
        <v>0.12653903096410088</v>
      </c>
      <c r="H13" s="82">
        <f>1/7.5401</f>
        <v>0.1326242357528415</v>
      </c>
      <c r="I13" s="82">
        <f>1/7.3922</f>
        <v>0.13527772516977354</v>
      </c>
      <c r="J13" s="82">
        <f>1/7.3246</f>
        <v>0.1365262266881468</v>
      </c>
      <c r="K13" s="82">
        <f>1/6.9637</f>
        <v>0.14360182087108864</v>
      </c>
      <c r="L13" s="82">
        <f>1/6.7287</f>
        <v>0.14861711771961894</v>
      </c>
      <c r="M13" s="82">
        <f>1/6.5159</f>
        <v>0.15347074080326586</v>
      </c>
      <c r="N13" s="82">
        <f>1/6.9179</f>
        <v>0.14455253761979792</v>
      </c>
      <c r="O13" s="83">
        <f>1/6.7686</f>
        <v>0.14774103950595396</v>
      </c>
      <c r="P13" s="82">
        <f>1/6.6633</f>
        <v>0.1500757882730779</v>
      </c>
      <c r="Q13" s="82">
        <f>1/6.5537</f>
        <v>0.15258556235409004</v>
      </c>
      <c r="R13" s="82">
        <f>1/6.7821</f>
        <v>0.14744695595759427</v>
      </c>
      <c r="S13" s="82">
        <f>1/6.4381</f>
        <v>0.15532532890138395</v>
      </c>
      <c r="T13" s="82">
        <f>1/6.1287</f>
        <v>0.1631667400916997</v>
      </c>
      <c r="U13" s="82">
        <f>1/6.4575</f>
        <v>0.1548586914440573</v>
      </c>
      <c r="V13" s="82">
        <f>1/6.5469</f>
        <v>0.15274404680077594</v>
      </c>
      <c r="W13" s="82">
        <f>1/6.3876</f>
        <v>0.15655332206149414</v>
      </c>
      <c r="X13" s="82">
        <f>1/6.0558</f>
        <v>0.16513094884243207</v>
      </c>
      <c r="Y13" s="82">
        <f>1/5.7323</f>
        <v>0.17445004622926225</v>
      </c>
      <c r="Z13" s="82">
        <f>1/5.9698</f>
        <v>0.1675097993232604</v>
      </c>
      <c r="AA13" s="82">
        <f>1/6.0161</f>
        <v>0.16622064127923405</v>
      </c>
      <c r="AB13" s="82">
        <f>1/6.0101</f>
        <v>0.16638658258598024</v>
      </c>
      <c r="AC13" s="82">
        <f>1/6.1521</f>
        <v>0.16254612246224867</v>
      </c>
      <c r="AD13" s="82">
        <f>1/6.3314</f>
        <v>0.1579429510060966</v>
      </c>
      <c r="AE13" s="82">
        <f>1/6.75</f>
        <v>0.14814814814814814</v>
      </c>
      <c r="AF13" s="82">
        <f>1/6.7035</f>
        <v>0.14917580368464234</v>
      </c>
      <c r="AG13" s="82">
        <f>1/6.465</f>
        <v>0.15467904098994587</v>
      </c>
      <c r="AH13" s="82">
        <f>1/6.3578</f>
        <v>0.1572871118940514</v>
      </c>
      <c r="AI13" s="82">
        <f>1/6.5766</f>
        <v>0.15205425295745523</v>
      </c>
      <c r="AJ13" s="82">
        <f>1/6.521</f>
        <v>0.15335071308081583</v>
      </c>
      <c r="AK13" s="82">
        <f>1/6.3591</f>
        <v>0.157254957462534</v>
      </c>
      <c r="AL13" s="82">
        <f>1/6.0891</f>
        <v>0.1642278826099095</v>
      </c>
      <c r="AM13" s="82">
        <f>1/6.1177</f>
        <v>0.16346012390277392</v>
      </c>
      <c r="AN13" s="82">
        <f>1/6.2544</f>
        <v>0.15988743924277307</v>
      </c>
      <c r="AO13" s="82">
        <f>1/6.072</f>
        <v>0.16469038208168643</v>
      </c>
      <c r="AP13" s="82">
        <f>1/6.3199</f>
        <v>0.15823035174607195</v>
      </c>
      <c r="AQ13" s="82">
        <f>1/6.9549</f>
        <v>0.14378351953299112</v>
      </c>
      <c r="AR13" s="82">
        <f>1/7.0843</f>
        <v>0.14115720678119223</v>
      </c>
      <c r="AS13" s="82">
        <f>1/6.9553</f>
        <v>0.14377525052837403</v>
      </c>
      <c r="AT13" s="82">
        <f>1/7.4098</f>
        <v>0.1349564090798672</v>
      </c>
      <c r="AU13" s="82">
        <f>1/7.6492</f>
        <v>0.13073262563405322</v>
      </c>
      <c r="AV13" s="82">
        <f>1/7.2586</f>
        <v>0.1377676135893974</v>
      </c>
      <c r="AW13" s="82">
        <f>1/7.0406</f>
        <v>0.14203334943044627</v>
      </c>
      <c r="AX13" s="82">
        <f>1/7.1838</f>
        <v>0.13920209359948774</v>
      </c>
      <c r="AY13" s="82">
        <f>1/7.1698</f>
        <v>0.13947390443248067</v>
      </c>
      <c r="AZ13" s="82">
        <f>1/7.3514</f>
        <v>0.13602851157602633</v>
      </c>
      <c r="BA13" s="82">
        <f>1/7.1216</f>
        <v>0.14041788362165805</v>
      </c>
      <c r="BB13" s="256">
        <f>1/7.0187</f>
        <v>0.14247652699217803</v>
      </c>
      <c r="BC13" s="256">
        <f>1/7.1718</f>
        <v>0.13943500934214562</v>
      </c>
      <c r="BD13" s="256">
        <f>1/6.973</f>
        <v>0.1434102968593145</v>
      </c>
      <c r="BE13" s="256">
        <f>1/7.2334</f>
        <v>0.1382475737550806</v>
      </c>
      <c r="BF13" s="256">
        <f>1/7.1282</f>
        <v>0.14028787071069837</v>
      </c>
      <c r="BG13" s="256">
        <f>1/6.7729</f>
        <v>0.14764724121129796</v>
      </c>
      <c r="BH13" s="256">
        <f>1/6.701</f>
        <v>0.14923145799134457</v>
      </c>
      <c r="BI13" s="256">
        <f>1/6.8271</f>
        <v>0.14647507726560327</v>
      </c>
      <c r="BJ13" s="256">
        <f>1/6.9871</f>
        <v>0.1431208942193471</v>
      </c>
      <c r="BK13" s="256">
        <f>1/7.6386</f>
        <v>0.13091404184012775</v>
      </c>
      <c r="BL13" s="256">
        <f>1/7.9799</f>
        <v>0.1253148535695936</v>
      </c>
      <c r="BM13" s="256">
        <f>1/7.7933</f>
        <v>0.1283153477987502</v>
      </c>
      <c r="BN13" s="256">
        <f>1/7.6238</f>
        <v>0.13116818384532647</v>
      </c>
      <c r="BO13" s="256">
        <f>1/7.9188</f>
        <v>0.12628175986260545</v>
      </c>
      <c r="BP13" s="256">
        <f>1/7.6393</f>
        <v>0.13090204599897895</v>
      </c>
      <c r="BQ13" s="256">
        <f>1/7.6578</f>
        <v>0.1305858079343937</v>
      </c>
      <c r="BR13" s="256">
        <f>1/8.0472</f>
        <v>0.12426682572820359</v>
      </c>
      <c r="BS13" s="256">
        <f>1/9.6715</f>
        <v>0.10339657757328233</v>
      </c>
      <c r="BT13" s="256">
        <f>1/10.1177</f>
        <v>0.09883669213358769</v>
      </c>
      <c r="BU13" s="266">
        <f>1/9.9456</f>
        <v>0.10054697554697554</v>
      </c>
      <c r="BV13" s="266">
        <f>1/9.897</f>
        <v>0.1010407194099222</v>
      </c>
      <c r="BW13" s="270">
        <f>1/10.006</f>
        <v>0.09994003597841294</v>
      </c>
      <c r="BX13" s="270">
        <f>1/9.9932</f>
        <v>0.1000680462714646</v>
      </c>
      <c r="BY13" s="270">
        <f>1/9.018</f>
        <v>0.11088933244621867</v>
      </c>
      <c r="BZ13" s="270">
        <f>1/8.3723</f>
        <v>0.11944149158534693</v>
      </c>
      <c r="CA13" s="270">
        <v>0.12419583198787848</v>
      </c>
      <c r="CB13" s="270">
        <f>1/7.9513</f>
        <v>0.12576559807830168</v>
      </c>
    </row>
    <row r="14" spans="2:80" ht="19.5" customHeight="1" hidden="1">
      <c r="B14" s="63" t="s">
        <v>33</v>
      </c>
      <c r="C14" s="64"/>
      <c r="D14" s="64"/>
      <c r="E14" s="64"/>
      <c r="F14" s="79"/>
      <c r="G14" s="79"/>
      <c r="H14" s="79"/>
      <c r="I14" s="66"/>
      <c r="J14" s="66"/>
      <c r="K14" s="66"/>
      <c r="L14" s="66"/>
      <c r="M14" s="67"/>
      <c r="N14" s="66"/>
      <c r="O14" s="68"/>
      <c r="P14" s="69"/>
      <c r="Q14" s="66"/>
      <c r="R14" s="69"/>
      <c r="S14" s="69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66"/>
      <c r="BV14" s="266"/>
      <c r="BW14" s="270"/>
      <c r="BX14" s="270"/>
      <c r="BY14" s="270"/>
      <c r="BZ14" s="270"/>
      <c r="CA14" s="270"/>
      <c r="CB14" s="270"/>
    </row>
    <row r="15" spans="2:80" ht="19.5" customHeight="1">
      <c r="B15" s="63" t="s">
        <v>34</v>
      </c>
      <c r="C15" s="81"/>
      <c r="D15" s="81">
        <f>1/12.7437</f>
        <v>0.07847014603294176</v>
      </c>
      <c r="E15" s="81">
        <f>1/12.124</f>
        <v>0.08248102936324644</v>
      </c>
      <c r="F15" s="82">
        <f>1/12.4393</f>
        <v>0.08039037566422548</v>
      </c>
      <c r="G15" s="82">
        <f>1/13.1219</f>
        <v>0.07620847590669035</v>
      </c>
      <c r="H15" s="82">
        <f>1/12.26</f>
        <v>0.08156606851549755</v>
      </c>
      <c r="I15" s="82">
        <f>1/11.7868</f>
        <v>0.08484066922319884</v>
      </c>
      <c r="J15" s="82">
        <f>1/11.702</f>
        <v>0.08545547769612032</v>
      </c>
      <c r="K15" s="82">
        <f>1/11.6744</f>
        <v>0.08565750702391557</v>
      </c>
      <c r="L15" s="82">
        <f>1/11.3692</f>
        <v>0.08795693628399535</v>
      </c>
      <c r="M15" s="82">
        <f>1/11.3073</f>
        <v>0.08843844242215207</v>
      </c>
      <c r="N15" s="82">
        <f>1/12.5935</f>
        <v>0.07940604279985707</v>
      </c>
      <c r="O15" s="83">
        <f>1/12.6411</f>
        <v>0.07910703973546607</v>
      </c>
      <c r="P15" s="82">
        <f>1/12.1204</f>
        <v>0.08250552787036732</v>
      </c>
      <c r="Q15" s="82">
        <f>1/11.8224</f>
        <v>0.08458519420760591</v>
      </c>
      <c r="R15" s="82">
        <f>1/12.1262</f>
        <v>0.08246606521416437</v>
      </c>
      <c r="S15" s="82">
        <f>1/11.7619</f>
        <v>0.08502027733614466</v>
      </c>
      <c r="T15" s="82">
        <f>1/11.2923</f>
        <v>0.08855591863482197</v>
      </c>
      <c r="U15" s="82">
        <f>1/11.7446</f>
        <v>0.08514551368288405</v>
      </c>
      <c r="V15" s="82">
        <f>1/11.736</f>
        <v>0.08520790729379686</v>
      </c>
      <c r="W15" s="82">
        <f>1/11.5461</f>
        <v>0.08660933128935312</v>
      </c>
      <c r="X15" s="82">
        <f>1/11.2483</f>
        <v>0.08890232301770044</v>
      </c>
      <c r="Y15" s="82">
        <f>1/11.601</f>
        <v>0.0861994655633135</v>
      </c>
      <c r="Z15" s="82">
        <f>1/11.2168</f>
        <v>0.08915198630625491</v>
      </c>
      <c r="AA15" s="82">
        <f>1/11.3535</f>
        <v>0.08807856608094419</v>
      </c>
      <c r="AB15" s="82">
        <f>1/11.8847</f>
        <v>0.08414179575420498</v>
      </c>
      <c r="AC15" s="82">
        <f>1/11.6567</f>
        <v>0.08578757281220242</v>
      </c>
      <c r="AD15" s="82">
        <f>1/11.7446</f>
        <v>0.08514551368288405</v>
      </c>
      <c r="AE15" s="82">
        <f>1/12.282</f>
        <v>0.08141996417521576</v>
      </c>
      <c r="AF15" s="82">
        <f>1/11.7407</f>
        <v>0.08517379713304998</v>
      </c>
      <c r="AG15" s="82">
        <f>1/11.5992</f>
        <v>0.0862128422649838</v>
      </c>
      <c r="AH15" s="82">
        <f>1/11.4978</f>
        <v>0.08697316008279846</v>
      </c>
      <c r="AI15" s="82">
        <f>1/11.5989</f>
        <v>0.08621507211890782</v>
      </c>
      <c r="AJ15" s="82">
        <f>1/11.2213</f>
        <v>0.08911623430440324</v>
      </c>
      <c r="AK15" s="82">
        <f>1/11.1059</f>
        <v>0.0900422298057789</v>
      </c>
      <c r="AL15" s="82">
        <f>1/10.7529</f>
        <v>0.09299816793609166</v>
      </c>
      <c r="AM15" s="82">
        <f>1/10.6948</f>
        <v>0.09350338482253057</v>
      </c>
      <c r="AN15" s="82">
        <f>1/10.907</f>
        <v>0.09168423947923351</v>
      </c>
      <c r="AO15" s="82">
        <f>1/10.7206</f>
        <v>0.09327836128574894</v>
      </c>
      <c r="AP15" s="82">
        <f>1/11.806</f>
        <v>0.08470269354565475</v>
      </c>
      <c r="AQ15" s="82">
        <f>1/12.8291</f>
        <v>0.07794779056987629</v>
      </c>
      <c r="AR15" s="82">
        <f>1/13.0643</f>
        <v>0.07654447616787735</v>
      </c>
      <c r="AS15" s="82">
        <f>1/13.1608</f>
        <v>0.07598322290438271</v>
      </c>
      <c r="AT15" s="82">
        <f>1/13.9706</f>
        <v>0.07157888709146351</v>
      </c>
      <c r="AU15" s="82">
        <f>1/14.3415</f>
        <v>0.069727713279643</v>
      </c>
      <c r="AV15" s="82">
        <f>1/13.8728</f>
        <v>0.07208350152817024</v>
      </c>
      <c r="AW15" s="82">
        <f>1/13.8362</f>
        <v>0.07227417932669375</v>
      </c>
      <c r="AX15" s="82">
        <f>1/14.0828</f>
        <v>0.07100860624307666</v>
      </c>
      <c r="AY15" s="82">
        <f>1/14.0398</f>
        <v>0.07122608584167865</v>
      </c>
      <c r="AZ15" s="82">
        <f>1/14.3044</f>
        <v>0.06990855960403793</v>
      </c>
      <c r="BA15" s="82">
        <f>1/14.1669</f>
        <v>0.07058707268350874</v>
      </c>
      <c r="BB15" s="256">
        <f>1/13.9229</f>
        <v>0.07182411710204052</v>
      </c>
      <c r="BC15" s="256">
        <f>1/14.2416</f>
        <v>0.07021682956971127</v>
      </c>
      <c r="BD15" s="256">
        <f>1/14.1833</f>
        <v>0.07050545359683572</v>
      </c>
      <c r="BE15" s="256">
        <f>1/14.525</f>
        <v>0.06884681583476764</v>
      </c>
      <c r="BF15" s="256">
        <f>1/14.3767</f>
        <v>0.06955699152100274</v>
      </c>
      <c r="BG15" s="256">
        <f>1/13.8408</f>
        <v>0.0722501589503497</v>
      </c>
      <c r="BH15" s="256">
        <f>1/13.8896</f>
        <v>0.07199631378873401</v>
      </c>
      <c r="BI15" s="256">
        <f>1/13.8016</f>
        <v>0.07245536749362393</v>
      </c>
      <c r="BJ15" s="256">
        <f>1/13.7527</f>
        <v>0.0727129945392541</v>
      </c>
      <c r="BK15" s="256">
        <f>1/15.0048</f>
        <v>0.06664534015781617</v>
      </c>
      <c r="BL15" s="256">
        <f>1/15.9805</f>
        <v>0.06257626482275273</v>
      </c>
      <c r="BM15" s="256">
        <f>1/15.4224</f>
        <v>0.06484075111526091</v>
      </c>
      <c r="BN15" s="256">
        <f>1/14.97</f>
        <v>0.0668002672010688</v>
      </c>
      <c r="BO15" s="256">
        <f>1/15.5595</f>
        <v>0.06426941739773129</v>
      </c>
      <c r="BP15" s="256">
        <f>1/15.1886</f>
        <v>0.0658388528238284</v>
      </c>
      <c r="BQ15" s="256">
        <f>1/14.4731</f>
        <v>0.06909369796380872</v>
      </c>
      <c r="BR15" s="256">
        <f>1/14.4452</f>
        <v>0.06922714811840612</v>
      </c>
      <c r="BS15" s="256">
        <f>1/16.3843</f>
        <v>0.06103403868337372</v>
      </c>
      <c r="BT15" s="256">
        <f>1/15.5129</f>
        <v>0.06446247961374083</v>
      </c>
      <c r="BU15" s="266">
        <f>1/14.8107</f>
        <v>0.06751875333373844</v>
      </c>
      <c r="BV15" s="266">
        <f>1/14.2861</f>
        <v>0.06999811005102863</v>
      </c>
      <c r="BW15" s="270">
        <f>1/14.4064</f>
        <v>0.06941359395824079</v>
      </c>
      <c r="BX15" s="270">
        <f>1/14.2015</f>
        <v>0.07041509699679611</v>
      </c>
      <c r="BY15" s="270">
        <f>1/13.2668</f>
        <v>0.07537612687309675</v>
      </c>
      <c r="BZ15" s="270">
        <f>1/12.91</f>
        <v>0.07745933384972889</v>
      </c>
      <c r="CA15" s="270">
        <v>0.07586274911430241</v>
      </c>
      <c r="CB15" s="270">
        <f>1/13.0024</f>
        <v>0.07690887836091799</v>
      </c>
    </row>
    <row r="16" spans="2:80" ht="19.5" customHeight="1">
      <c r="B16" s="63" t="s">
        <v>35</v>
      </c>
      <c r="C16" s="81"/>
      <c r="D16" s="81">
        <f>1/0.0679</f>
        <v>14.727540500736376</v>
      </c>
      <c r="E16" s="81">
        <f>1/0.0642</f>
        <v>15.576323987538942</v>
      </c>
      <c r="F16" s="82">
        <f>1/0.0654</f>
        <v>15.290519877675841</v>
      </c>
      <c r="G16" s="82">
        <f>1/0.0668</f>
        <v>14.970059880239521</v>
      </c>
      <c r="H16" s="82">
        <f>1/0.0636</f>
        <v>15.723270440251572</v>
      </c>
      <c r="I16" s="82">
        <f>1/0.0622</f>
        <v>16.077170418006432</v>
      </c>
      <c r="J16" s="82">
        <f>1/0.0636</f>
        <v>15.723270440251572</v>
      </c>
      <c r="K16" s="82">
        <f>1/0.0636</f>
        <v>15.723270440251572</v>
      </c>
      <c r="L16" s="82">
        <f>1/0.0616</f>
        <v>16.233766233766232</v>
      </c>
      <c r="M16" s="82">
        <f>1/0.0604</f>
        <v>16.556291390728475</v>
      </c>
      <c r="N16" s="82">
        <f>1/0.065</f>
        <v>15.384615384615383</v>
      </c>
      <c r="O16" s="83">
        <f>1/0.0695</f>
        <v>14.388489208633093</v>
      </c>
      <c r="P16" s="82">
        <f>1/0.0611</f>
        <v>16.366612111292962</v>
      </c>
      <c r="Q16" s="82">
        <f>1/0.061</f>
        <v>16.39344262295082</v>
      </c>
      <c r="R16" s="82">
        <f>1/0.0606</f>
        <v>16.5016501650165</v>
      </c>
      <c r="S16" s="82">
        <f>1/0.0588</f>
        <v>17.006802721088437</v>
      </c>
      <c r="T16" s="82">
        <f>1/0.0561</f>
        <v>17.825311942959004</v>
      </c>
      <c r="U16" s="82">
        <f>1/0.0505</f>
        <v>19.801980198019802</v>
      </c>
      <c r="V16" s="82">
        <f>1/0.0595</f>
        <v>16.80672268907563</v>
      </c>
      <c r="W16" s="82">
        <f>1/0.0587</f>
        <v>17.035775127768314</v>
      </c>
      <c r="X16" s="82">
        <f>1/0.0578</f>
        <v>17.301038062283737</v>
      </c>
      <c r="Y16" s="82">
        <f>1/0.052</f>
        <v>19.23076923076923</v>
      </c>
      <c r="Z16" s="82">
        <f>1/0.0578</f>
        <v>17.301038062283737</v>
      </c>
      <c r="AA16" s="82">
        <f>1/0.0574</f>
        <v>17.421602787456447</v>
      </c>
      <c r="AB16" s="82">
        <f>1/0.0572</f>
        <v>17.482517482517483</v>
      </c>
      <c r="AC16" s="82">
        <f>1/0.0572</f>
        <v>17.482517482517483</v>
      </c>
      <c r="AD16" s="82">
        <f>1/0.0594</f>
        <v>16.835016835016834</v>
      </c>
      <c r="AE16" s="82">
        <f>1/0.0621</f>
        <v>16.10305958132045</v>
      </c>
      <c r="AF16" s="82">
        <f>1/0.0599</f>
        <v>16.69449081803005</v>
      </c>
      <c r="AG16" s="82">
        <f>1/0.0585</f>
        <v>17.094017094017094</v>
      </c>
      <c r="AH16" s="82">
        <f>1/0.0573</f>
        <v>17.452006980802793</v>
      </c>
      <c r="AI16" s="82">
        <f>1/0.0573</f>
        <v>17.452006980802793</v>
      </c>
      <c r="AJ16" s="82">
        <f>1/0.0545</f>
        <v>18.34862385321101</v>
      </c>
      <c r="AK16" s="82">
        <f>1/0.0536</f>
        <v>18.65671641791045</v>
      </c>
      <c r="AL16" s="82">
        <f>1/0.0528</f>
        <v>18.93939393939394</v>
      </c>
      <c r="AM16" s="82">
        <f>1/0.0519</f>
        <v>19.267822736030826</v>
      </c>
      <c r="AN16" s="82">
        <f>1/0.0533</f>
        <v>18.76172607879925</v>
      </c>
      <c r="AO16" s="82">
        <f>1/0.0518</f>
        <v>19.305019305019304</v>
      </c>
      <c r="AP16" s="82">
        <f>1/0.0566</f>
        <v>17.6678445229682</v>
      </c>
      <c r="AQ16" s="82">
        <f>1/0.0607</f>
        <v>16.474464579901156</v>
      </c>
      <c r="AR16" s="82">
        <f>1/0.0613</f>
        <v>16.31321370309951</v>
      </c>
      <c r="AS16" s="82">
        <f>1/0.06</f>
        <v>16.666666666666668</v>
      </c>
      <c r="AT16" s="82">
        <f>1/0.0633</f>
        <v>15.797788309636653</v>
      </c>
      <c r="AU16" s="82">
        <f>1/0.0645</f>
        <v>15.503875968992247</v>
      </c>
      <c r="AV16" s="82">
        <f>1/0.0619</f>
        <v>16.155088852988694</v>
      </c>
      <c r="AW16" s="82">
        <f>1/0.0601</f>
        <v>16.638935108153078</v>
      </c>
      <c r="AX16" s="82">
        <f>1/0.0597</f>
        <v>16.75041876046901</v>
      </c>
      <c r="AY16" s="82">
        <f>1/0.0595</f>
        <v>16.80672268907563</v>
      </c>
      <c r="AZ16" s="82">
        <f>1/0.0627</f>
        <v>15.948963317384369</v>
      </c>
      <c r="BA16" s="82">
        <f>1/0.06</f>
        <v>16.666666666666668</v>
      </c>
      <c r="BB16" s="256">
        <f>1/0.0581</f>
        <v>17.21170395869191</v>
      </c>
      <c r="BC16" s="256">
        <f>1/0.0585</f>
        <v>17.094017094017094</v>
      </c>
      <c r="BD16" s="256">
        <f>1/0.0574</f>
        <v>17.421602787456447</v>
      </c>
      <c r="BE16" s="256">
        <f>1/0.062</f>
        <v>16.129032258064516</v>
      </c>
      <c r="BF16" s="256">
        <f>1/0.062</f>
        <v>16.129032258064516</v>
      </c>
      <c r="BG16" s="256">
        <f>1/0.0585</f>
        <v>17.094017094017094</v>
      </c>
      <c r="BH16" s="256">
        <f>1/0.0603</f>
        <v>16.58374792703151</v>
      </c>
      <c r="BI16" s="256">
        <f>1/0.0609</f>
        <v>16.420361247947454</v>
      </c>
      <c r="BJ16" s="256">
        <f>1/0.0647</f>
        <v>15.45595054095827</v>
      </c>
      <c r="BK16" s="256">
        <f>1/0.0713</f>
        <v>14.025245441795231</v>
      </c>
      <c r="BL16" s="256">
        <f>1/0.0791</f>
        <v>12.642225031605562</v>
      </c>
      <c r="BM16" s="256">
        <f>1/0.0761</f>
        <v>13.140604467805518</v>
      </c>
      <c r="BN16" s="256">
        <f>1/0.0732</f>
        <v>13.66120218579235</v>
      </c>
      <c r="BO16" s="256">
        <f>1/0.0742</f>
        <v>13.477088948787062</v>
      </c>
      <c r="BP16" s="256">
        <f>1/0.0716</f>
        <v>13.966480446927374</v>
      </c>
      <c r="BQ16" s="256">
        <f>1/0.0701</f>
        <v>14.265335235378032</v>
      </c>
      <c r="BR16" s="256">
        <f>1/0.0754</f>
        <v>13.262599469496022</v>
      </c>
      <c r="BS16" s="256">
        <f>1/0.0964</f>
        <v>10.37344398340249</v>
      </c>
      <c r="BT16" s="256">
        <f>1/0.1044</f>
        <v>9.578544061302681</v>
      </c>
      <c r="BU16" s="266">
        <f>1/0.1091</f>
        <v>9.165902841429881</v>
      </c>
      <c r="BV16" s="266">
        <f>1/0.1095</f>
        <v>9.132420091324201</v>
      </c>
      <c r="BW16" s="270">
        <f>1/0.1083</f>
        <v>9.233610341643583</v>
      </c>
      <c r="BX16" s="270">
        <f>1/0.1023</f>
        <v>9.775171065493646</v>
      </c>
      <c r="BY16" s="270">
        <f>1/0.0913</f>
        <v>10.952902519167578</v>
      </c>
      <c r="BZ16" s="270">
        <f>1/0.0866</f>
        <v>11.547344110854503</v>
      </c>
      <c r="CA16" s="270">
        <v>11.990407673860911</v>
      </c>
      <c r="CB16" s="270">
        <f>1/0.0841</f>
        <v>11.890606420927469</v>
      </c>
    </row>
    <row r="17" spans="2:80" ht="19.5" customHeight="1" hidden="1">
      <c r="B17" s="63" t="s">
        <v>35</v>
      </c>
      <c r="C17" s="84"/>
      <c r="D17" s="84"/>
      <c r="E17" s="84"/>
      <c r="F17" s="66"/>
      <c r="G17" s="66"/>
      <c r="H17" s="66"/>
      <c r="I17" s="66"/>
      <c r="J17" s="66"/>
      <c r="K17" s="66"/>
      <c r="L17" s="66"/>
      <c r="M17" s="66"/>
      <c r="N17" s="66"/>
      <c r="O17" s="68"/>
      <c r="P17" s="69"/>
      <c r="Q17" s="66"/>
      <c r="R17" s="69"/>
      <c r="S17" s="69"/>
      <c r="T17" s="69"/>
      <c r="U17" s="69"/>
      <c r="V17" s="69"/>
      <c r="W17" s="69"/>
      <c r="X17" s="69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256">
        <f>1/0.0742</f>
        <v>13.477088948787062</v>
      </c>
      <c r="BP17" s="256">
        <f>1/0.0716</f>
        <v>13.966480446927374</v>
      </c>
      <c r="BQ17" s="256">
        <f>1/0.0701</f>
        <v>14.265335235378032</v>
      </c>
      <c r="BR17" s="256">
        <f>1/0.0754</f>
        <v>13.262599469496022</v>
      </c>
      <c r="BS17" s="256">
        <f>1/0.0964</f>
        <v>10.37344398340249</v>
      </c>
      <c r="BT17" s="256">
        <f>1/0.1044</f>
        <v>9.578544061302681</v>
      </c>
      <c r="BU17" s="266">
        <f>1/0.1091</f>
        <v>9.165902841429881</v>
      </c>
      <c r="BV17" s="266">
        <f>1/0.1095</f>
        <v>9.132420091324201</v>
      </c>
      <c r="BW17" s="270">
        <f>1/0.1083</f>
        <v>9.233610341643583</v>
      </c>
      <c r="BX17" s="270">
        <f>1/0.1023</f>
        <v>9.775171065493646</v>
      </c>
      <c r="BY17" s="270">
        <f>1/0.0913</f>
        <v>10.952902519167578</v>
      </c>
      <c r="BZ17" s="270">
        <f>1/0.0866</f>
        <v>11.547344110854503</v>
      </c>
      <c r="CA17" s="270">
        <v>12.9904076738609</v>
      </c>
      <c r="CB17" s="270">
        <f>1/0.0841</f>
        <v>11.890606420927469</v>
      </c>
    </row>
    <row r="18" spans="2:80" ht="19.5" customHeight="1">
      <c r="B18" s="277" t="s">
        <v>165</v>
      </c>
      <c r="C18" s="85"/>
      <c r="D18" s="85"/>
      <c r="E18" s="86"/>
      <c r="F18" s="58"/>
      <c r="G18" s="58"/>
      <c r="H18" s="58"/>
      <c r="I18" s="87"/>
      <c r="J18" s="87"/>
      <c r="K18" s="58"/>
      <c r="L18" s="58"/>
      <c r="M18" s="61"/>
      <c r="N18" s="87"/>
      <c r="O18" s="61"/>
      <c r="P18" s="59"/>
      <c r="Q18" s="58"/>
      <c r="R18" s="59"/>
      <c r="S18" s="59"/>
      <c r="T18" s="62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256"/>
      <c r="BP18" s="256">
        <f>1/12.0494</f>
        <v>0.08299168423323983</v>
      </c>
      <c r="BQ18" s="256">
        <f>1/11.4757</f>
        <v>0.08714065372918428</v>
      </c>
      <c r="BR18" s="256">
        <f>1/11.5514</f>
        <v>0.0865695932960507</v>
      </c>
      <c r="BS18" s="256">
        <f>1/12.9051</f>
        <v>0.07748874475982365</v>
      </c>
      <c r="BT18" s="256">
        <f>1/12.881</f>
        <v>0.07763372408974459</v>
      </c>
      <c r="BU18" s="266">
        <f>1/13.3723</f>
        <v>0.07478145120884216</v>
      </c>
      <c r="BV18" s="266">
        <f>1/13.13</f>
        <v>0.07616146230007616</v>
      </c>
      <c r="BW18" s="270">
        <f>1/12.8058</f>
        <v>0.07808961564291181</v>
      </c>
      <c r="BX18" s="270">
        <f>1/13.0511</f>
        <v>0.07662189393997441</v>
      </c>
      <c r="BY18" s="270">
        <f>1/11.9135</f>
        <v>0.08393838922231082</v>
      </c>
      <c r="BZ18" s="270">
        <f>1/11.4253</f>
        <v>0.08752505404672087</v>
      </c>
      <c r="CA18" s="270">
        <f>1/11.2957</f>
        <v>0.08852926334799968</v>
      </c>
      <c r="CB18" s="270">
        <f>1/11.1974</f>
        <v>0.08930644613928233</v>
      </c>
    </row>
    <row r="19" spans="2:80" ht="19.5" customHeight="1">
      <c r="B19" s="130" t="s">
        <v>37</v>
      </c>
      <c r="C19" s="85"/>
      <c r="D19" s="85"/>
      <c r="E19" s="57"/>
      <c r="F19" s="58"/>
      <c r="G19" s="58"/>
      <c r="H19" s="58"/>
      <c r="I19" s="59"/>
      <c r="J19" s="59"/>
      <c r="K19" s="58"/>
      <c r="L19" s="58"/>
      <c r="M19" s="60"/>
      <c r="N19" s="59"/>
      <c r="O19" s="61"/>
      <c r="P19" s="59"/>
      <c r="Q19" s="58"/>
      <c r="R19" s="59"/>
      <c r="S19" s="59"/>
      <c r="T19" s="62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263"/>
      <c r="BV19" s="263"/>
      <c r="BW19" s="263"/>
      <c r="BX19" s="263"/>
      <c r="BY19" s="263"/>
      <c r="BZ19" s="263"/>
      <c r="CA19" s="263"/>
      <c r="CB19" s="263"/>
    </row>
    <row r="20" spans="2:80" ht="19.5" customHeight="1" thickBot="1">
      <c r="B20" s="131" t="s">
        <v>36</v>
      </c>
      <c r="C20" s="88"/>
      <c r="D20" s="88"/>
      <c r="E20" s="89"/>
      <c r="F20" s="90"/>
      <c r="G20" s="90"/>
      <c r="H20" s="90"/>
      <c r="I20" s="91"/>
      <c r="J20" s="91"/>
      <c r="K20" s="90"/>
      <c r="L20" s="90"/>
      <c r="M20" s="92"/>
      <c r="N20" s="91"/>
      <c r="O20" s="93"/>
      <c r="P20" s="91"/>
      <c r="Q20" s="90"/>
      <c r="R20" s="91"/>
      <c r="S20" s="91"/>
      <c r="T20" s="94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ht="19.5" customHeight="1">
      <c r="B21" s="257" t="s">
        <v>104</v>
      </c>
    </row>
    <row r="22" spans="75:79" ht="19.5" customHeight="1">
      <c r="BW22" s="276"/>
      <c r="BX22" s="276"/>
      <c r="BY22" s="276"/>
      <c r="BZ22" s="276"/>
      <c r="CA22" s="276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Q46" sqref="Q46"/>
    </sheetView>
  </sheetViews>
  <sheetFormatPr defaultColWidth="9.140625" defaultRowHeight="12"/>
  <cols>
    <col min="11" max="11" width="8.7109375" style="0" customWidth="1"/>
  </cols>
  <sheetData>
    <row r="2" spans="1:15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11" t="s">
        <v>164</v>
      </c>
      <c r="B4" s="311"/>
      <c r="C4" s="311"/>
      <c r="D4" s="311"/>
      <c r="E4" s="311"/>
      <c r="F4" s="311"/>
      <c r="G4" s="311"/>
      <c r="H4" s="311"/>
      <c r="I4" s="311"/>
      <c r="J4" s="311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1:15" ht="12.75"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0.25">
      <c r="A45" s="311" t="s">
        <v>143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15"/>
      <c r="L45" s="15"/>
      <c r="M45" s="15"/>
      <c r="N45" s="15"/>
      <c r="O45" s="15"/>
    </row>
    <row r="46" spans="1:15" ht="12.75">
      <c r="A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L54" s="15"/>
      <c r="M54" s="15"/>
      <c r="N54" s="15"/>
      <c r="O54" s="15"/>
    </row>
    <row r="55" spans="1:21" ht="20.25">
      <c r="A55" s="15"/>
      <c r="B55" s="15"/>
      <c r="C55" s="214"/>
      <c r="H55" s="15"/>
      <c r="I55" s="15"/>
      <c r="J55" s="15"/>
      <c r="K55" s="15"/>
      <c r="L55" s="15"/>
      <c r="M55" s="15"/>
      <c r="N55" s="15"/>
      <c r="O55" s="15"/>
      <c r="U55" t="s">
        <v>123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4"/>
      <c r="E61" s="214"/>
      <c r="F61" s="214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45:J45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6">
      <selection activeCell="B77" sqref="B77:K10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123</v>
      </c>
    </row>
    <row r="2" spans="1:11" ht="11.25">
      <c r="A2" s="150"/>
      <c r="B2" s="294" t="s">
        <v>77</v>
      </c>
      <c r="C2" s="295"/>
      <c r="D2" s="295"/>
      <c r="E2" s="295"/>
      <c r="F2" s="295"/>
      <c r="G2" s="295"/>
      <c r="H2" s="295"/>
      <c r="I2" s="295"/>
      <c r="J2" s="295"/>
      <c r="K2" s="296"/>
    </row>
    <row r="3" spans="1:11" ht="11.25">
      <c r="A3" s="150"/>
      <c r="B3" s="300" t="s">
        <v>116</v>
      </c>
      <c r="C3" s="301"/>
      <c r="D3" s="301"/>
      <c r="E3" s="301"/>
      <c r="F3" s="301"/>
      <c r="G3" s="301"/>
      <c r="H3" s="301"/>
      <c r="I3" s="301"/>
      <c r="J3" s="301"/>
      <c r="K3" s="302"/>
    </row>
    <row r="4" spans="1:11" ht="11.25">
      <c r="A4" s="150"/>
      <c r="B4" s="152"/>
      <c r="C4" s="107"/>
      <c r="D4" s="43"/>
      <c r="E4" s="107"/>
      <c r="F4" s="290" t="s">
        <v>111</v>
      </c>
      <c r="G4" s="297"/>
      <c r="H4" s="173" t="s">
        <v>132</v>
      </c>
      <c r="I4" s="290" t="s">
        <v>133</v>
      </c>
      <c r="J4" s="291"/>
      <c r="K4" s="292"/>
    </row>
    <row r="5" spans="1:11" ht="11.25">
      <c r="A5" s="150"/>
      <c r="B5" s="153"/>
      <c r="C5" s="12">
        <v>39630</v>
      </c>
      <c r="D5" s="106">
        <v>39965</v>
      </c>
      <c r="E5" s="106">
        <v>39995</v>
      </c>
      <c r="F5" s="12" t="s">
        <v>166</v>
      </c>
      <c r="G5" s="97" t="s">
        <v>167</v>
      </c>
      <c r="H5" s="97" t="s">
        <v>166</v>
      </c>
      <c r="I5" s="12">
        <v>39934</v>
      </c>
      <c r="J5" s="12">
        <v>39965</v>
      </c>
      <c r="K5" s="12">
        <v>39995</v>
      </c>
    </row>
    <row r="6" spans="1:12" ht="11.25">
      <c r="A6" s="150"/>
      <c r="B6" s="154" t="s">
        <v>55</v>
      </c>
      <c r="C6" s="190">
        <v>12411.89055666</v>
      </c>
      <c r="D6" s="190">
        <v>14653.76473892</v>
      </c>
      <c r="E6" s="190">
        <v>14653.76473892</v>
      </c>
      <c r="F6" s="190">
        <v>0</v>
      </c>
      <c r="G6" s="190">
        <v>2241.8741822599986</v>
      </c>
      <c r="H6" s="191">
        <v>0</v>
      </c>
      <c r="I6" s="191">
        <v>40.45511662484258</v>
      </c>
      <c r="J6" s="191">
        <v>35.93310235809637</v>
      </c>
      <c r="K6" s="233">
        <v>18.06231026631997</v>
      </c>
      <c r="L6" s="54"/>
    </row>
    <row r="7" spans="1:12" ht="11.25">
      <c r="A7" s="150"/>
      <c r="B7" s="154" t="s">
        <v>149</v>
      </c>
      <c r="C7" s="190">
        <v>11859.28186413</v>
      </c>
      <c r="D7" s="190">
        <v>14556.60774781</v>
      </c>
      <c r="E7" s="190">
        <v>14556.60774781</v>
      </c>
      <c r="F7" s="190">
        <v>0</v>
      </c>
      <c r="G7" s="190">
        <v>2697.3258836799996</v>
      </c>
      <c r="H7" s="191">
        <v>0</v>
      </c>
      <c r="I7" s="191">
        <v>53.26258224832707</v>
      </c>
      <c r="J7" s="191">
        <v>49.3768494437832</v>
      </c>
      <c r="K7" s="233">
        <v>22.74442849561089</v>
      </c>
      <c r="L7" s="54"/>
    </row>
    <row r="8" spans="1:12" ht="11.25">
      <c r="A8" s="150"/>
      <c r="B8" s="155" t="s">
        <v>56</v>
      </c>
      <c r="C8" s="192">
        <v>5917.367317879999</v>
      </c>
      <c r="D8" s="192">
        <v>14410.806954849999</v>
      </c>
      <c r="E8" s="192">
        <v>14410.806954849999</v>
      </c>
      <c r="F8" s="192">
        <v>0</v>
      </c>
      <c r="G8" s="192">
        <v>8493.43963697</v>
      </c>
      <c r="H8" s="193">
        <v>0</v>
      </c>
      <c r="I8" s="193">
        <v>55.02435880737677</v>
      </c>
      <c r="J8" s="193">
        <v>51.47819097739041</v>
      </c>
      <c r="K8" s="234">
        <v>143.5340951592798</v>
      </c>
      <c r="L8" s="54"/>
    </row>
    <row r="9" spans="1:12" ht="11.25">
      <c r="A9" s="150"/>
      <c r="B9" s="155" t="s">
        <v>57</v>
      </c>
      <c r="C9" s="192">
        <v>5733.05793796</v>
      </c>
      <c r="D9" s="192">
        <v>0</v>
      </c>
      <c r="E9" s="192">
        <v>0</v>
      </c>
      <c r="F9" s="192">
        <v>0</v>
      </c>
      <c r="G9" s="192">
        <v>-5733.05793796</v>
      </c>
      <c r="H9" s="193">
        <v>0</v>
      </c>
      <c r="I9" s="193">
        <v>0</v>
      </c>
      <c r="J9" s="193">
        <v>0</v>
      </c>
      <c r="K9" s="234">
        <v>0</v>
      </c>
      <c r="L9" s="54"/>
    </row>
    <row r="10" spans="1:12" ht="11.25">
      <c r="A10" s="150"/>
      <c r="B10" s="155" t="s">
        <v>58</v>
      </c>
      <c r="C10" s="192">
        <v>208.85660829</v>
      </c>
      <c r="D10" s="192">
        <v>145.80079295999997</v>
      </c>
      <c r="E10" s="192">
        <v>145.80079295999997</v>
      </c>
      <c r="F10" s="192">
        <v>0</v>
      </c>
      <c r="G10" s="192">
        <v>-63.05581533000003</v>
      </c>
      <c r="H10" s="193">
        <v>0</v>
      </c>
      <c r="I10" s="193">
        <v>-27.817239465225228</v>
      </c>
      <c r="J10" s="193">
        <v>-37.00152155871612</v>
      </c>
      <c r="K10" s="234">
        <v>-30.19096012631127</v>
      </c>
      <c r="L10" s="54"/>
    </row>
    <row r="11" spans="1:12" ht="11.25">
      <c r="A11" s="150"/>
      <c r="B11" s="154" t="s">
        <v>59</v>
      </c>
      <c r="C11" s="190">
        <v>552.6086925300001</v>
      </c>
      <c r="D11" s="190">
        <v>97.15699110999999</v>
      </c>
      <c r="E11" s="190">
        <v>97.15699110999999</v>
      </c>
      <c r="F11" s="190">
        <v>0</v>
      </c>
      <c r="G11" s="190">
        <v>-455.4517014200001</v>
      </c>
      <c r="H11" s="191">
        <v>0</v>
      </c>
      <c r="I11" s="191">
        <v>-89.61150407747792</v>
      </c>
      <c r="J11" s="191">
        <v>-90.61503623061384</v>
      </c>
      <c r="K11" s="233">
        <v>-82.41848302002136</v>
      </c>
      <c r="L11" s="54"/>
    </row>
    <row r="12" spans="1:12" ht="11.25">
      <c r="A12" s="150"/>
      <c r="B12" s="155" t="s">
        <v>99</v>
      </c>
      <c r="C12" s="192">
        <v>529.52735623</v>
      </c>
      <c r="D12" s="192">
        <v>74.04581214</v>
      </c>
      <c r="E12" s="192">
        <v>74.04581214</v>
      </c>
      <c r="F12" s="192">
        <v>0</v>
      </c>
      <c r="G12" s="192">
        <v>-455.48154409</v>
      </c>
      <c r="H12" s="193">
        <v>0</v>
      </c>
      <c r="I12" s="193">
        <v>-91.88656025264447</v>
      </c>
      <c r="J12" s="193">
        <v>-92.68633504320755</v>
      </c>
      <c r="K12" s="234">
        <v>-86.01662194241042</v>
      </c>
      <c r="L12" s="54"/>
    </row>
    <row r="13" spans="1:12" ht="11.25">
      <c r="A13" s="150"/>
      <c r="B13" s="155" t="s">
        <v>78</v>
      </c>
      <c r="C13" s="192">
        <v>0.03722773</v>
      </c>
      <c r="D13" s="192">
        <v>0.03722773</v>
      </c>
      <c r="E13" s="192">
        <v>0.03722773</v>
      </c>
      <c r="F13" s="192">
        <v>0</v>
      </c>
      <c r="G13" s="192">
        <v>0</v>
      </c>
      <c r="H13" s="193">
        <v>0</v>
      </c>
      <c r="I13" s="193">
        <v>0</v>
      </c>
      <c r="J13" s="193">
        <v>1</v>
      </c>
      <c r="K13" s="234">
        <v>2</v>
      </c>
      <c r="L13" s="54"/>
    </row>
    <row r="14" spans="1:12" ht="11.25">
      <c r="A14" s="150"/>
      <c r="B14" s="155" t="s">
        <v>60</v>
      </c>
      <c r="C14" s="192">
        <v>23.04410857</v>
      </c>
      <c r="D14" s="192">
        <v>23.07395124</v>
      </c>
      <c r="E14" s="192">
        <v>23.07395124</v>
      </c>
      <c r="F14" s="192">
        <v>0</v>
      </c>
      <c r="G14" s="192">
        <v>0.029842670000000737</v>
      </c>
      <c r="H14" s="193">
        <v>0</v>
      </c>
      <c r="I14" s="193">
        <v>2.075472759167085</v>
      </c>
      <c r="J14" s="193">
        <v>1.1573055014337363</v>
      </c>
      <c r="K14" s="234">
        <v>0.12950238413149684</v>
      </c>
      <c r="L14" s="54"/>
    </row>
    <row r="15" spans="1:12" ht="11.25">
      <c r="A15" s="150"/>
      <c r="B15" s="156"/>
      <c r="C15" s="190"/>
      <c r="D15" s="190"/>
      <c r="E15" s="190"/>
      <c r="F15" s="190"/>
      <c r="G15" s="190"/>
      <c r="H15" s="191"/>
      <c r="I15" s="191"/>
      <c r="J15" s="191"/>
      <c r="K15" s="233"/>
      <c r="L15" s="54"/>
    </row>
    <row r="16" spans="1:12" ht="11.25">
      <c r="A16" s="150"/>
      <c r="B16" s="154" t="s">
        <v>61</v>
      </c>
      <c r="C16" s="190">
        <v>12411.87416013</v>
      </c>
      <c r="D16" s="190">
        <v>14653.788306819997</v>
      </c>
      <c r="E16" s="190">
        <v>14653.788306819997</v>
      </c>
      <c r="F16" s="190">
        <v>0</v>
      </c>
      <c r="G16" s="190">
        <v>2241.9141466899964</v>
      </c>
      <c r="H16" s="191">
        <v>0</v>
      </c>
      <c r="I16" s="191">
        <v>40.455215630667276</v>
      </c>
      <c r="J16" s="191">
        <v>35.93398877793514</v>
      </c>
      <c r="K16" s="233">
        <v>18.062656112737407</v>
      </c>
      <c r="L16" s="54"/>
    </row>
    <row r="17" spans="1:12" ht="11.25">
      <c r="A17" s="150"/>
      <c r="B17" s="154" t="s">
        <v>62</v>
      </c>
      <c r="C17" s="190">
        <v>2653.4973674300018</v>
      </c>
      <c r="D17" s="190">
        <v>3310.1753708699966</v>
      </c>
      <c r="E17" s="190">
        <v>3310.1753708699966</v>
      </c>
      <c r="F17" s="190">
        <v>0</v>
      </c>
      <c r="G17" s="190">
        <v>656.6780034399949</v>
      </c>
      <c r="H17" s="191">
        <v>0</v>
      </c>
      <c r="I17" s="193">
        <v>35.014903271206045</v>
      </c>
      <c r="J17" s="193">
        <v>48.47903809117668</v>
      </c>
      <c r="K17" s="233">
        <v>24.74764103783562</v>
      </c>
      <c r="L17" s="54"/>
    </row>
    <row r="18" spans="1:12" ht="11.25">
      <c r="A18" s="150"/>
      <c r="B18" s="155" t="s">
        <v>63</v>
      </c>
      <c r="C18" s="192">
        <v>1358.407222</v>
      </c>
      <c r="D18" s="192">
        <v>1562.8968844</v>
      </c>
      <c r="E18" s="192">
        <v>1562.8968844</v>
      </c>
      <c r="F18" s="192">
        <v>0</v>
      </c>
      <c r="G18" s="192">
        <v>204.48966240000004</v>
      </c>
      <c r="H18" s="193">
        <v>0</v>
      </c>
      <c r="I18" s="193">
        <v>23.398324543587655</v>
      </c>
      <c r="J18" s="193">
        <v>23.30548944124644</v>
      </c>
      <c r="K18" s="234">
        <v>15.05363480760411</v>
      </c>
      <c r="L18" s="54"/>
    </row>
    <row r="19" spans="1:12" ht="11.25">
      <c r="A19" s="150"/>
      <c r="B19" s="155" t="s">
        <v>64</v>
      </c>
      <c r="C19" s="192">
        <v>1295.090145430002</v>
      </c>
      <c r="D19" s="192">
        <v>1747.2784864699966</v>
      </c>
      <c r="E19" s="192">
        <v>1747.2784864699966</v>
      </c>
      <c r="F19" s="192">
        <v>0</v>
      </c>
      <c r="G19" s="192">
        <v>452.1883410399946</v>
      </c>
      <c r="H19" s="193">
        <v>0</v>
      </c>
      <c r="I19" s="193">
        <v>47.42915505088299</v>
      </c>
      <c r="J19" s="193">
        <v>81.6507066391264</v>
      </c>
      <c r="K19" s="234">
        <v>34.91558812609581</v>
      </c>
      <c r="L19" s="54"/>
    </row>
    <row r="20" spans="1:12" ht="11.25">
      <c r="A20" s="150"/>
      <c r="B20" s="154" t="s">
        <v>100</v>
      </c>
      <c r="C20" s="190">
        <v>9790.207505459999</v>
      </c>
      <c r="D20" s="190">
        <v>11367.008847910001</v>
      </c>
      <c r="E20" s="190">
        <v>11367.008847910001</v>
      </c>
      <c r="F20" s="190">
        <v>0</v>
      </c>
      <c r="G20" s="190">
        <v>1576.8013424500023</v>
      </c>
      <c r="H20" s="191">
        <v>0</v>
      </c>
      <c r="I20" s="191">
        <v>40.9639056138859</v>
      </c>
      <c r="J20" s="191">
        <v>31.542647482050267</v>
      </c>
      <c r="K20" s="233">
        <v>16.105903185102257</v>
      </c>
      <c r="L20" s="54"/>
    </row>
    <row r="21" spans="1:12" ht="11.25">
      <c r="A21" s="150"/>
      <c r="B21" s="155" t="s">
        <v>150</v>
      </c>
      <c r="C21" s="192">
        <v>7857.531255699999</v>
      </c>
      <c r="D21" s="192">
        <v>9126.585089440001</v>
      </c>
      <c r="E21" s="192">
        <v>9126.585089440001</v>
      </c>
      <c r="F21" s="192">
        <v>0</v>
      </c>
      <c r="G21" s="192">
        <v>1269.0538337400021</v>
      </c>
      <c r="H21" s="193">
        <v>0</v>
      </c>
      <c r="I21" s="193">
        <v>50.12941115997831</v>
      </c>
      <c r="J21" s="193">
        <v>44.8305163573951</v>
      </c>
      <c r="K21" s="234">
        <v>16.15079587267829</v>
      </c>
      <c r="L21" s="54"/>
    </row>
    <row r="22" spans="1:12" ht="11.25">
      <c r="A22" s="150"/>
      <c r="B22" s="157" t="s">
        <v>65</v>
      </c>
      <c r="C22" s="192">
        <v>1932.6762497600002</v>
      </c>
      <c r="D22" s="192">
        <v>2240.4237584700004</v>
      </c>
      <c r="E22" s="192">
        <v>2240.4237584700004</v>
      </c>
      <c r="F22" s="192">
        <v>0</v>
      </c>
      <c r="G22" s="192">
        <v>307.74750871000015</v>
      </c>
      <c r="H22" s="193">
        <v>0</v>
      </c>
      <c r="I22" s="193">
        <v>12.888891171628147</v>
      </c>
      <c r="J22" s="193">
        <v>-4.245102115532684</v>
      </c>
      <c r="K22" s="234">
        <v>15.923386482770518</v>
      </c>
      <c r="L22" s="54"/>
    </row>
    <row r="23" spans="1:12" ht="11.25">
      <c r="A23" s="150"/>
      <c r="B23" s="158" t="s">
        <v>0</v>
      </c>
      <c r="C23" s="192">
        <v>6.09004264</v>
      </c>
      <c r="D23" s="192">
        <v>11.64830272</v>
      </c>
      <c r="E23" s="192">
        <v>11.64830272</v>
      </c>
      <c r="F23" s="192">
        <v>0</v>
      </c>
      <c r="G23" s="192">
        <v>5.55826008</v>
      </c>
      <c r="H23" s="193">
        <v>0</v>
      </c>
      <c r="I23" s="193">
        <v>151.67240414277794</v>
      </c>
      <c r="J23" s="193">
        <v>326.7048315303905</v>
      </c>
      <c r="K23" s="234">
        <v>91.26799939778418</v>
      </c>
      <c r="L23" s="54"/>
    </row>
    <row r="24" spans="1:12" ht="11.25">
      <c r="A24" s="150"/>
      <c r="B24" s="158" t="s">
        <v>101</v>
      </c>
      <c r="C24" s="192">
        <v>101.07788103000001</v>
      </c>
      <c r="D24" s="192">
        <v>113.01187805000004</v>
      </c>
      <c r="E24" s="192">
        <v>113.01187805000004</v>
      </c>
      <c r="F24" s="192">
        <v>0</v>
      </c>
      <c r="G24" s="192">
        <v>11.933997020000021</v>
      </c>
      <c r="H24" s="193">
        <v>0</v>
      </c>
      <c r="I24" s="193">
        <v>102.08815030968776</v>
      </c>
      <c r="J24" s="193">
        <v>140.0728076828327</v>
      </c>
      <c r="K24" s="234">
        <v>11.806734468897307</v>
      </c>
      <c r="L24" s="54"/>
    </row>
    <row r="25" spans="1:12" ht="12" thickBot="1">
      <c r="A25" s="150"/>
      <c r="B25" s="159" t="s">
        <v>94</v>
      </c>
      <c r="C25" s="235">
        <v>-138.99863643000006</v>
      </c>
      <c r="D25" s="235">
        <v>-148.05609273000005</v>
      </c>
      <c r="E25" s="235">
        <v>-148.05609273000005</v>
      </c>
      <c r="F25" s="235">
        <v>0</v>
      </c>
      <c r="G25" s="235">
        <v>-9.057456299999984</v>
      </c>
      <c r="H25" s="236">
        <v>0</v>
      </c>
      <c r="I25" s="236">
        <v>3.5603089314638625</v>
      </c>
      <c r="J25" s="236">
        <v>5.432940451903101</v>
      </c>
      <c r="K25" s="237">
        <v>6.516219534686818</v>
      </c>
      <c r="L25" s="54"/>
    </row>
    <row r="26" spans="2:12" ht="12" customHeight="1" hidden="1">
      <c r="B26" s="96" t="s">
        <v>76</v>
      </c>
      <c r="C26" s="194">
        <v>0.0005970500023977365</v>
      </c>
      <c r="D26" s="194">
        <v>-0.044205399997736095</v>
      </c>
      <c r="E26" s="194">
        <v>-0.01117267999870819</v>
      </c>
      <c r="F26" s="194">
        <v>0.033032719999027904</v>
      </c>
      <c r="G26" s="194">
        <v>-0.011769730001105927</v>
      </c>
      <c r="H26" s="194">
        <v>0.00021239155370395896</v>
      </c>
      <c r="I26" s="194">
        <v>0.0006087325444852354</v>
      </c>
      <c r="J26" s="194">
        <v>-3.799632619916338E-05</v>
      </c>
      <c r="K26" s="195">
        <v>-0.0001264041925139736</v>
      </c>
      <c r="L26" s="54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0"/>
      <c r="B30" s="294" t="s">
        <v>77</v>
      </c>
      <c r="C30" s="295"/>
      <c r="D30" s="295"/>
      <c r="E30" s="295"/>
      <c r="F30" s="295"/>
      <c r="G30" s="295"/>
      <c r="H30" s="295"/>
      <c r="I30" s="295"/>
      <c r="J30" s="295"/>
      <c r="K30" s="296"/>
      <c r="L30" s="150"/>
    </row>
    <row r="31" spans="1:12" ht="11.25">
      <c r="A31" s="150"/>
      <c r="B31" s="300" t="s">
        <v>117</v>
      </c>
      <c r="C31" s="301"/>
      <c r="D31" s="301"/>
      <c r="E31" s="301"/>
      <c r="F31" s="301"/>
      <c r="G31" s="301"/>
      <c r="H31" s="301"/>
      <c r="I31" s="301"/>
      <c r="J31" s="301"/>
      <c r="K31" s="302"/>
      <c r="L31" s="150"/>
    </row>
    <row r="32" spans="1:12" ht="11.25">
      <c r="A32" s="150"/>
      <c r="B32" s="152"/>
      <c r="C32" s="107"/>
      <c r="D32" s="43"/>
      <c r="E32" s="107"/>
      <c r="F32" s="290" t="s">
        <v>111</v>
      </c>
      <c r="G32" s="297"/>
      <c r="H32" s="173" t="s">
        <v>132</v>
      </c>
      <c r="I32" s="290" t="s">
        <v>133</v>
      </c>
      <c r="J32" s="291"/>
      <c r="K32" s="292"/>
      <c r="L32" s="150"/>
    </row>
    <row r="33" spans="1:12" ht="11.25">
      <c r="A33" s="150"/>
      <c r="B33" s="153"/>
      <c r="C33" s="12">
        <f>C5</f>
        <v>39630</v>
      </c>
      <c r="D33" s="106">
        <f>D5</f>
        <v>39965</v>
      </c>
      <c r="E33" s="12">
        <f>E5</f>
        <v>39995</v>
      </c>
      <c r="F33" s="12" t="s">
        <v>114</v>
      </c>
      <c r="G33" s="97" t="s">
        <v>113</v>
      </c>
      <c r="H33" s="97" t="s">
        <v>134</v>
      </c>
      <c r="I33" s="12">
        <f>I5</f>
        <v>39934</v>
      </c>
      <c r="J33" s="12">
        <f>J5</f>
        <v>39965</v>
      </c>
      <c r="K33" s="221">
        <f>K5</f>
        <v>39995</v>
      </c>
      <c r="L33" s="150"/>
    </row>
    <row r="34" spans="1:12" ht="11.25">
      <c r="A34" s="150"/>
      <c r="B34" s="160" t="s">
        <v>55</v>
      </c>
      <c r="C34" s="205">
        <v>45059.60388705644</v>
      </c>
      <c r="D34" s="205">
        <v>47363.378076121124</v>
      </c>
      <c r="E34" s="205">
        <v>47570.005502354295</v>
      </c>
      <c r="F34" s="205">
        <v>206.62742623317172</v>
      </c>
      <c r="G34" s="205">
        <v>2510.4016152978584</v>
      </c>
      <c r="H34" s="206">
        <v>0.43625990084804717</v>
      </c>
      <c r="I34" s="206">
        <v>7.759469202151115</v>
      </c>
      <c r="J34" s="206">
        <v>8.693431198015023</v>
      </c>
      <c r="K34" s="238">
        <v>5.559362265094037</v>
      </c>
      <c r="L34" s="150"/>
    </row>
    <row r="35" spans="1:12" ht="11.25">
      <c r="A35" s="150"/>
      <c r="B35" s="160" t="s">
        <v>149</v>
      </c>
      <c r="C35" s="205">
        <v>3869.944742966438</v>
      </c>
      <c r="D35" s="205">
        <v>2465.1265956094794</v>
      </c>
      <c r="E35" s="205">
        <v>2430.7135511953416</v>
      </c>
      <c r="F35" s="205">
        <v>-34.41304441413786</v>
      </c>
      <c r="G35" s="205">
        <v>-1439.2311917710963</v>
      </c>
      <c r="H35" s="206">
        <v>-1.3959950160543197</v>
      </c>
      <c r="I35" s="206">
        <v>-20.95910432371878</v>
      </c>
      <c r="J35" s="206">
        <v>-14.145002898879856</v>
      </c>
      <c r="K35" s="238">
        <v>-37.18996748950681</v>
      </c>
      <c r="L35" s="150"/>
    </row>
    <row r="36" spans="1:12" ht="11.25">
      <c r="A36" s="150"/>
      <c r="B36" s="161" t="s">
        <v>66</v>
      </c>
      <c r="C36" s="207">
        <v>174.88988737000003</v>
      </c>
      <c r="D36" s="207">
        <v>176.86702831190266</v>
      </c>
      <c r="E36" s="207">
        <v>191.86469177190267</v>
      </c>
      <c r="F36" s="207">
        <v>14.997663460000012</v>
      </c>
      <c r="G36" s="207">
        <v>16.974804401902645</v>
      </c>
      <c r="H36" s="208">
        <v>8.479626532511098</v>
      </c>
      <c r="I36" s="208">
        <v>-57.34727303468692</v>
      </c>
      <c r="J36" s="208">
        <v>-58.97952291939135</v>
      </c>
      <c r="K36" s="239">
        <v>-62.56787571627791</v>
      </c>
      <c r="L36" s="150"/>
    </row>
    <row r="37" spans="1:12" ht="11.25">
      <c r="A37" s="150"/>
      <c r="B37" s="161" t="s">
        <v>56</v>
      </c>
      <c r="C37" s="207">
        <v>3574.0948555964383</v>
      </c>
      <c r="D37" s="207">
        <v>2113.424479219506</v>
      </c>
      <c r="E37" s="207">
        <v>2072.3997148469703</v>
      </c>
      <c r="F37" s="207">
        <v>-41.02476437253563</v>
      </c>
      <c r="G37" s="207">
        <v>-1501.695140749468</v>
      </c>
      <c r="H37" s="208">
        <v>-1.941151187369903</v>
      </c>
      <c r="I37" s="208">
        <v>-32.29215432997624</v>
      </c>
      <c r="J37" s="208">
        <v>-17.782804106883688</v>
      </c>
      <c r="K37" s="239">
        <v>-42.01609642223298</v>
      </c>
      <c r="L37" s="150"/>
    </row>
    <row r="38" spans="1:12" ht="11.25">
      <c r="A38" s="150"/>
      <c r="B38" s="161" t="s">
        <v>67</v>
      </c>
      <c r="C38" s="207">
        <v>59.71999999999999</v>
      </c>
      <c r="D38" s="207">
        <v>101.58799999999998</v>
      </c>
      <c r="E38" s="207">
        <v>93.121</v>
      </c>
      <c r="F38" s="207">
        <v>-8.466999999999985</v>
      </c>
      <c r="G38" s="207">
        <v>33.401</v>
      </c>
      <c r="H38" s="208">
        <v>-8.334645824309945</v>
      </c>
      <c r="I38" s="208">
        <v>49.54679121259298</v>
      </c>
      <c r="J38" s="208">
        <v>76.89201892874846</v>
      </c>
      <c r="K38" s="239">
        <v>55.92933690555928</v>
      </c>
      <c r="L38" s="150"/>
    </row>
    <row r="39" spans="1:12" ht="11.25">
      <c r="A39" s="150"/>
      <c r="B39" s="161" t="s">
        <v>68</v>
      </c>
      <c r="C39" s="207">
        <v>61.24</v>
      </c>
      <c r="D39" s="207">
        <v>73.24708807807073</v>
      </c>
      <c r="E39" s="207">
        <v>73.32814457646886</v>
      </c>
      <c r="F39" s="207">
        <v>0.08105649839812656</v>
      </c>
      <c r="G39" s="207">
        <v>12.088144576468856</v>
      </c>
      <c r="H39" s="208">
        <v>0.11066173485522338</v>
      </c>
      <c r="I39" s="208">
        <v>0</v>
      </c>
      <c r="J39" s="208">
        <v>1</v>
      </c>
      <c r="K39" s="239">
        <v>2</v>
      </c>
      <c r="L39" s="150"/>
    </row>
    <row r="40" spans="1:12" ht="11.25">
      <c r="A40" s="150"/>
      <c r="B40" s="160" t="s">
        <v>59</v>
      </c>
      <c r="C40" s="205">
        <v>38943.24528278</v>
      </c>
      <c r="D40" s="205">
        <v>42399.2688845245</v>
      </c>
      <c r="E40" s="205">
        <v>42773.20775457355</v>
      </c>
      <c r="F40" s="205">
        <v>373.93887004905264</v>
      </c>
      <c r="G40" s="205">
        <v>3829.9624717935512</v>
      </c>
      <c r="H40" s="206">
        <v>0.8819465049444244</v>
      </c>
      <c r="I40" s="206">
        <v>10.834090090279936</v>
      </c>
      <c r="J40" s="206">
        <v>10.66860026189449</v>
      </c>
      <c r="K40" s="238">
        <v>9.834728574834761</v>
      </c>
      <c r="L40" s="150"/>
    </row>
    <row r="41" spans="1:12" ht="11.25">
      <c r="A41" s="150"/>
      <c r="B41" s="161" t="s">
        <v>79</v>
      </c>
      <c r="C41" s="207">
        <v>1583.9172359</v>
      </c>
      <c r="D41" s="207">
        <v>2398.4207669685916</v>
      </c>
      <c r="E41" s="207">
        <v>2348.5502713790725</v>
      </c>
      <c r="F41" s="207">
        <v>-49.87049558951912</v>
      </c>
      <c r="G41" s="207">
        <v>764.6330354790725</v>
      </c>
      <c r="H41" s="208">
        <v>-2.079305527884974</v>
      </c>
      <c r="I41" s="208">
        <v>47.83039984034496</v>
      </c>
      <c r="J41" s="208">
        <v>88.10570532729338</v>
      </c>
      <c r="K41" s="239">
        <v>48.274809955243605</v>
      </c>
      <c r="L41" s="150"/>
    </row>
    <row r="42" spans="1:12" ht="11.25">
      <c r="A42" s="150"/>
      <c r="B42" s="161" t="s">
        <v>78</v>
      </c>
      <c r="C42" s="207">
        <v>2701.03187595</v>
      </c>
      <c r="D42" s="207">
        <v>2188.99811749</v>
      </c>
      <c r="E42" s="207">
        <v>2289.40113263</v>
      </c>
      <c r="F42" s="207">
        <v>100.4030151400002</v>
      </c>
      <c r="G42" s="207">
        <v>-411.63074331999997</v>
      </c>
      <c r="H42" s="208">
        <v>4.586710894714092</v>
      </c>
      <c r="I42" s="208">
        <v>-19.775718357722937</v>
      </c>
      <c r="J42" s="208">
        <v>-15.106727209090366</v>
      </c>
      <c r="K42" s="239">
        <v>-15.239758811629066</v>
      </c>
      <c r="L42" s="150"/>
    </row>
    <row r="43" spans="1:12" ht="11.25">
      <c r="A43" s="150"/>
      <c r="B43" s="161" t="s">
        <v>49</v>
      </c>
      <c r="C43" s="207">
        <v>2888.69000524</v>
      </c>
      <c r="D43" s="207">
        <v>2910.350733605902</v>
      </c>
      <c r="E43" s="207">
        <v>2966.7304429214764</v>
      </c>
      <c r="F43" s="207">
        <v>56.37970931557447</v>
      </c>
      <c r="G43" s="207">
        <v>78.0404376814763</v>
      </c>
      <c r="H43" s="208">
        <v>1.9372135689542977</v>
      </c>
      <c r="I43" s="208">
        <v>4.246291840985661</v>
      </c>
      <c r="J43" s="208">
        <v>-0.14714665099435642</v>
      </c>
      <c r="K43" s="239">
        <v>2.701585754785496</v>
      </c>
      <c r="L43" s="150"/>
    </row>
    <row r="44" spans="1:12" ht="11.25">
      <c r="A44" s="150"/>
      <c r="B44" s="161" t="s">
        <v>80</v>
      </c>
      <c r="C44" s="207">
        <v>28.71355289</v>
      </c>
      <c r="D44" s="207">
        <v>93.17462861</v>
      </c>
      <c r="E44" s="207">
        <v>82.51245173000001</v>
      </c>
      <c r="F44" s="207">
        <v>-10.66217687999999</v>
      </c>
      <c r="G44" s="207">
        <v>53.79889884000001</v>
      </c>
      <c r="H44" s="208">
        <v>-11.443219081267868</v>
      </c>
      <c r="I44" s="208">
        <v>288.96618301020885</v>
      </c>
      <c r="J44" s="208">
        <v>371.0327934049739</v>
      </c>
      <c r="K44" s="239">
        <v>187.36413095969192</v>
      </c>
      <c r="L44" s="150"/>
    </row>
    <row r="45" spans="1:12" ht="11.25">
      <c r="A45" s="150"/>
      <c r="B45" s="161" t="s">
        <v>145</v>
      </c>
      <c r="C45" s="207">
        <v>559.95372014</v>
      </c>
      <c r="D45" s="207">
        <v>654.829145</v>
      </c>
      <c r="E45" s="207">
        <v>663.70561146</v>
      </c>
      <c r="F45" s="207">
        <v>8.87646645999996</v>
      </c>
      <c r="G45" s="207">
        <v>103.75189132000003</v>
      </c>
      <c r="H45" s="208">
        <v>1.3555393078907567</v>
      </c>
      <c r="I45" s="208">
        <v>15.288970346559383</v>
      </c>
      <c r="J45" s="208">
        <v>25.443237507440152</v>
      </c>
      <c r="K45" s="239">
        <v>18.528654706331782</v>
      </c>
      <c r="L45" s="150"/>
    </row>
    <row r="46" spans="1:12" ht="11.25">
      <c r="A46" s="150"/>
      <c r="B46" s="161" t="s">
        <v>151</v>
      </c>
      <c r="C46" s="207">
        <v>10514.59267079</v>
      </c>
      <c r="D46" s="207">
        <v>11675.187948100001</v>
      </c>
      <c r="E46" s="207">
        <v>12006.5000277</v>
      </c>
      <c r="F46" s="207">
        <v>331.31207959999847</v>
      </c>
      <c r="G46" s="207">
        <v>1491.90735691</v>
      </c>
      <c r="H46" s="208">
        <v>2.837745148710138</v>
      </c>
      <c r="I46" s="208">
        <v>16.580536515940935</v>
      </c>
      <c r="J46" s="208">
        <v>12.545373379037205</v>
      </c>
      <c r="K46" s="239">
        <v>14.188922040266805</v>
      </c>
      <c r="L46" s="150"/>
    </row>
    <row r="47" spans="1:12" ht="11.25">
      <c r="A47" s="150"/>
      <c r="B47" s="161" t="s">
        <v>50</v>
      </c>
      <c r="C47" s="207">
        <v>20666.34622187</v>
      </c>
      <c r="D47" s="207">
        <v>22478.307544750005</v>
      </c>
      <c r="E47" s="207">
        <v>22415.807816753</v>
      </c>
      <c r="F47" s="207">
        <v>-62.49972799700481</v>
      </c>
      <c r="G47" s="207">
        <v>1749.4615948829996</v>
      </c>
      <c r="H47" s="208">
        <v>-0.2780446342438363</v>
      </c>
      <c r="I47" s="208">
        <v>9.460233050155509</v>
      </c>
      <c r="J47" s="208">
        <v>8.969033222604894</v>
      </c>
      <c r="K47" s="239">
        <v>8.46526800674443</v>
      </c>
      <c r="L47" s="150"/>
    </row>
    <row r="48" spans="1:12" ht="11.25">
      <c r="A48" s="150"/>
      <c r="B48" s="162" t="s">
        <v>152</v>
      </c>
      <c r="C48" s="205">
        <v>2246.413861310001</v>
      </c>
      <c r="D48" s="205">
        <v>2498.9825959871428</v>
      </c>
      <c r="E48" s="205">
        <v>2366.0841965854024</v>
      </c>
      <c r="F48" s="205">
        <v>-132.89839940174033</v>
      </c>
      <c r="G48" s="205">
        <v>119.67033527540161</v>
      </c>
      <c r="H48" s="206">
        <v>-5.318100238679057</v>
      </c>
      <c r="I48" s="206">
        <v>-0.4677680779621829</v>
      </c>
      <c r="J48" s="206">
        <v>4.463432349174368</v>
      </c>
      <c r="K48" s="238">
        <v>5.08790197763247</v>
      </c>
      <c r="L48" s="150"/>
    </row>
    <row r="49" spans="1:12" ht="11.25">
      <c r="A49" s="150"/>
      <c r="B49" s="163"/>
      <c r="C49" s="205"/>
      <c r="D49" s="205"/>
      <c r="E49" s="205"/>
      <c r="F49" s="205"/>
      <c r="G49" s="207"/>
      <c r="H49" s="208"/>
      <c r="I49" s="208"/>
      <c r="J49" s="208"/>
      <c r="K49" s="239"/>
      <c r="L49" s="150"/>
    </row>
    <row r="50" spans="1:12" ht="11.25">
      <c r="A50" s="150"/>
      <c r="B50" s="160" t="s">
        <v>61</v>
      </c>
      <c r="C50" s="205">
        <v>45059.60316044687</v>
      </c>
      <c r="D50" s="205">
        <v>47363.38028244522</v>
      </c>
      <c r="E50" s="205">
        <v>47570.014127103765</v>
      </c>
      <c r="F50" s="205">
        <v>206.63384465854324</v>
      </c>
      <c r="G50" s="205">
        <v>2510.410966656891</v>
      </c>
      <c r="H50" s="206">
        <v>0.4362734319770037</v>
      </c>
      <c r="I50" s="206">
        <v>7.770655568593665</v>
      </c>
      <c r="J50" s="206">
        <v>8.705769857440604</v>
      </c>
      <c r="K50" s="238">
        <v>5.571311752830788</v>
      </c>
      <c r="L50" s="150"/>
    </row>
    <row r="51" spans="1:12" ht="11.25">
      <c r="A51" s="150"/>
      <c r="B51" s="164" t="s">
        <v>69</v>
      </c>
      <c r="C51" s="205">
        <v>1040.1034885241768</v>
      </c>
      <c r="D51" s="205">
        <v>1093.8176391375046</v>
      </c>
      <c r="E51" s="205">
        <v>899.0160788962182</v>
      </c>
      <c r="F51" s="205">
        <v>-194.80156024128632</v>
      </c>
      <c r="G51" s="205">
        <v>-141.08740962795855</v>
      </c>
      <c r="H51" s="206">
        <v>-17.80932700947216</v>
      </c>
      <c r="I51" s="206">
        <v>19.214751500709614</v>
      </c>
      <c r="J51" s="206">
        <v>-16.77385853613701</v>
      </c>
      <c r="K51" s="238">
        <v>-13.564747276076371</v>
      </c>
      <c r="L51" s="150"/>
    </row>
    <row r="52" spans="1:12" ht="11.25">
      <c r="A52" s="150"/>
      <c r="B52" s="161" t="s">
        <v>56</v>
      </c>
      <c r="C52" s="207">
        <v>366.27283449</v>
      </c>
      <c r="D52" s="207">
        <v>303.5252601600001</v>
      </c>
      <c r="E52" s="207">
        <v>299.42463692</v>
      </c>
      <c r="F52" s="207">
        <v>-4.100623240000061</v>
      </c>
      <c r="G52" s="207">
        <v>-66.84819756999997</v>
      </c>
      <c r="H52" s="208">
        <v>-1.350999003456405</v>
      </c>
      <c r="I52" s="208">
        <v>27.49103183536303</v>
      </c>
      <c r="J52" s="208">
        <v>-52.97133647221168</v>
      </c>
      <c r="K52" s="239">
        <v>-18.250929710110697</v>
      </c>
      <c r="L52" s="150"/>
    </row>
    <row r="53" spans="1:12" ht="11.25">
      <c r="A53" s="150"/>
      <c r="B53" s="161" t="s">
        <v>153</v>
      </c>
      <c r="C53" s="207">
        <v>442.15580862999997</v>
      </c>
      <c r="D53" s="207">
        <v>569.30762875</v>
      </c>
      <c r="E53" s="207">
        <v>572.1633827300001</v>
      </c>
      <c r="F53" s="207">
        <v>2.8557539800000313</v>
      </c>
      <c r="G53" s="207">
        <v>130.0075741000001</v>
      </c>
      <c r="H53" s="208">
        <v>0.5016187796868744</v>
      </c>
      <c r="I53" s="208">
        <v>29.234999910114755</v>
      </c>
      <c r="J53" s="208">
        <v>29.594254020892528</v>
      </c>
      <c r="K53" s="239">
        <v>29.403113464193265</v>
      </c>
      <c r="L53" s="150"/>
    </row>
    <row r="54" spans="1:12" ht="11.25">
      <c r="A54" s="150"/>
      <c r="B54" s="161" t="s">
        <v>67</v>
      </c>
      <c r="C54" s="207">
        <v>231.67484540417675</v>
      </c>
      <c r="D54" s="207">
        <v>220.9847502275046</v>
      </c>
      <c r="E54" s="207">
        <v>27.428059246218115</v>
      </c>
      <c r="F54" s="207">
        <v>-193.5566909812865</v>
      </c>
      <c r="G54" s="207">
        <v>-204.24678615795864</v>
      </c>
      <c r="H54" s="208">
        <v>-87.5882570095987</v>
      </c>
      <c r="I54" s="208">
        <v>-10.135075976344298</v>
      </c>
      <c r="J54" s="208">
        <v>-3.7383861600582824</v>
      </c>
      <c r="K54" s="239">
        <v>-88.16096792970013</v>
      </c>
      <c r="L54" s="150"/>
    </row>
    <row r="55" spans="1:12" ht="11.25">
      <c r="A55" s="150"/>
      <c r="B55" s="161" t="s">
        <v>70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208">
        <v>0</v>
      </c>
      <c r="I55" s="208">
        <v>0</v>
      </c>
      <c r="J55" s="208">
        <v>1</v>
      </c>
      <c r="K55" s="239">
        <v>2</v>
      </c>
      <c r="L55" s="150"/>
    </row>
    <row r="56" spans="1:12" ht="11.25">
      <c r="A56" s="150"/>
      <c r="B56" s="160" t="s">
        <v>71</v>
      </c>
      <c r="C56" s="205">
        <v>44019.4996719227</v>
      </c>
      <c r="D56" s="205">
        <v>46269.56264330772</v>
      </c>
      <c r="E56" s="205">
        <v>46670.99804820755</v>
      </c>
      <c r="F56" s="205">
        <v>401.4354048998284</v>
      </c>
      <c r="G56" s="205">
        <v>2651.4983762848497</v>
      </c>
      <c r="H56" s="206">
        <v>0.8676014683659231</v>
      </c>
      <c r="I56" s="206">
        <v>7.517848239440661</v>
      </c>
      <c r="J56" s="206">
        <v>9.498253027727888</v>
      </c>
      <c r="K56" s="238">
        <v>6.023463228901882</v>
      </c>
      <c r="L56" s="150"/>
    </row>
    <row r="57" spans="1:12" ht="11.25">
      <c r="A57" s="150"/>
      <c r="B57" s="161" t="s">
        <v>72</v>
      </c>
      <c r="C57" s="207">
        <v>28786.26098547051</v>
      </c>
      <c r="D57" s="207">
        <v>29119.132081214673</v>
      </c>
      <c r="E57" s="207">
        <v>29195.086880022896</v>
      </c>
      <c r="F57" s="207">
        <v>75.95479880822313</v>
      </c>
      <c r="G57" s="207">
        <v>408.82589455238485</v>
      </c>
      <c r="H57" s="208">
        <v>0.26084156147367826</v>
      </c>
      <c r="I57" s="208">
        <v>7.5021873484159896</v>
      </c>
      <c r="J57" s="208">
        <v>7.677918615732082</v>
      </c>
      <c r="K57" s="239">
        <v>1.4202118668997565</v>
      </c>
      <c r="L57" s="150"/>
    </row>
    <row r="58" spans="1:12" ht="11.25">
      <c r="A58" s="150"/>
      <c r="B58" s="165" t="s">
        <v>73</v>
      </c>
      <c r="C58" s="207">
        <v>18716.06130968051</v>
      </c>
      <c r="D58" s="207">
        <v>19036.189702442894</v>
      </c>
      <c r="E58" s="207">
        <v>19003.904957662897</v>
      </c>
      <c r="F58" s="207">
        <v>-32.28474477999771</v>
      </c>
      <c r="G58" s="207">
        <v>287.84364798238676</v>
      </c>
      <c r="H58" s="208">
        <v>-0.16959667498929495</v>
      </c>
      <c r="I58" s="208">
        <v>13.587296916863778</v>
      </c>
      <c r="J58" s="208">
        <v>10.225438758452764</v>
      </c>
      <c r="K58" s="239">
        <v>1.5379499095437676</v>
      </c>
      <c r="L58" s="150"/>
    </row>
    <row r="59" spans="1:12" ht="11.25">
      <c r="A59" s="150"/>
      <c r="B59" s="165" t="s">
        <v>70</v>
      </c>
      <c r="C59" s="207">
        <v>10070.199675790001</v>
      </c>
      <c r="D59" s="207">
        <v>10082.94237877178</v>
      </c>
      <c r="E59" s="207">
        <v>10191.18192236</v>
      </c>
      <c r="F59" s="207">
        <v>108.23954358821902</v>
      </c>
      <c r="G59" s="207">
        <v>120.9822465699981</v>
      </c>
      <c r="H59" s="208">
        <v>1.0734916408537867</v>
      </c>
      <c r="I59" s="208">
        <v>-2.1136455166902213</v>
      </c>
      <c r="J59" s="208">
        <v>3.175904882028213</v>
      </c>
      <c r="K59" s="239">
        <v>1.201388755585997</v>
      </c>
      <c r="L59" s="150"/>
    </row>
    <row r="60" spans="1:12" ht="11.25">
      <c r="A60" s="150"/>
      <c r="B60" s="161" t="s">
        <v>154</v>
      </c>
      <c r="C60" s="207">
        <v>836.39676843</v>
      </c>
      <c r="D60" s="207">
        <v>1051.9486637</v>
      </c>
      <c r="E60" s="207">
        <v>917.01472429</v>
      </c>
      <c r="F60" s="207">
        <v>-134.93393941</v>
      </c>
      <c r="G60" s="207">
        <v>80.61795586000005</v>
      </c>
      <c r="H60" s="208">
        <v>-12.827046040003442</v>
      </c>
      <c r="I60" s="208">
        <v>-35.84969254208623</v>
      </c>
      <c r="J60" s="208">
        <v>21.28480934415777</v>
      </c>
      <c r="K60" s="239">
        <v>9.63872158560919</v>
      </c>
      <c r="L60" s="150"/>
    </row>
    <row r="61" spans="1:12" ht="11.25">
      <c r="A61" s="150"/>
      <c r="B61" s="161" t="s">
        <v>121</v>
      </c>
      <c r="C61" s="207">
        <v>3.9297494661639343</v>
      </c>
      <c r="D61" s="207">
        <v>3.93907692556274</v>
      </c>
      <c r="E61" s="207">
        <v>3.93907692556274</v>
      </c>
      <c r="F61" s="207">
        <v>0</v>
      </c>
      <c r="G61" s="207">
        <v>0.009327459398805527</v>
      </c>
      <c r="H61" s="208">
        <v>0</v>
      </c>
      <c r="I61" s="208">
        <v>0.1672432020378034</v>
      </c>
      <c r="J61" s="208">
        <v>0.2373550649759526</v>
      </c>
      <c r="K61" s="239">
        <v>0.2373550649759526</v>
      </c>
      <c r="L61" s="150"/>
    </row>
    <row r="62" spans="1:12" ht="11.25">
      <c r="A62" s="150"/>
      <c r="B62" s="161" t="s">
        <v>122</v>
      </c>
      <c r="C62" s="207">
        <v>5869.05073658</v>
      </c>
      <c r="D62" s="207">
        <v>6979.993894185614</v>
      </c>
      <c r="E62" s="207">
        <v>6951.089056383973</v>
      </c>
      <c r="F62" s="207">
        <v>-28.904837801641406</v>
      </c>
      <c r="G62" s="207">
        <v>1082.0383198039726</v>
      </c>
      <c r="H62" s="208">
        <v>-0.4141097863383426</v>
      </c>
      <c r="I62" s="208">
        <v>37.16004325823299</v>
      </c>
      <c r="J62" s="208">
        <v>27.79722725218172</v>
      </c>
      <c r="K62" s="239">
        <v>18.436342917602634</v>
      </c>
      <c r="L62" s="150"/>
    </row>
    <row r="63" spans="1:12" ht="11.25">
      <c r="A63" s="150"/>
      <c r="B63" s="161" t="s">
        <v>95</v>
      </c>
      <c r="C63" s="207">
        <v>530.9033798895828</v>
      </c>
      <c r="D63" s="207">
        <v>655.2715748100395</v>
      </c>
      <c r="E63" s="207">
        <v>900.8492719800396</v>
      </c>
      <c r="F63" s="207">
        <v>245.57769717000008</v>
      </c>
      <c r="G63" s="207">
        <v>369.9458920904568</v>
      </c>
      <c r="H63" s="208">
        <v>37.47723945467832</v>
      </c>
      <c r="I63" s="208">
        <v>46.197845977641364</v>
      </c>
      <c r="J63" s="208">
        <v>52.4355053425825</v>
      </c>
      <c r="K63" s="239">
        <v>69.68233884052464</v>
      </c>
      <c r="L63" s="150"/>
    </row>
    <row r="64" spans="1:12" ht="11.25">
      <c r="A64" s="150"/>
      <c r="B64" s="161" t="s">
        <v>96</v>
      </c>
      <c r="C64" s="207">
        <v>524.60045972</v>
      </c>
      <c r="D64" s="207">
        <v>141.72309852</v>
      </c>
      <c r="E64" s="207">
        <v>250.81334279</v>
      </c>
      <c r="F64" s="207">
        <v>109.09024427</v>
      </c>
      <c r="G64" s="207">
        <v>-273.78711693</v>
      </c>
      <c r="H64" s="208">
        <v>76.97421620696866</v>
      </c>
      <c r="I64" s="208">
        <v>-83.32810766184966</v>
      </c>
      <c r="J64" s="208">
        <v>-85.99309874059216</v>
      </c>
      <c r="K64" s="239">
        <v>-52.189644873001264</v>
      </c>
      <c r="L64" s="150"/>
    </row>
    <row r="65" spans="1:12" ht="11.25">
      <c r="A65" s="150"/>
      <c r="B65" s="161" t="s">
        <v>67</v>
      </c>
      <c r="C65" s="207">
        <v>6.86151209</v>
      </c>
      <c r="D65" s="207">
        <v>16.862017289999997</v>
      </c>
      <c r="E65" s="207">
        <v>6.7096031</v>
      </c>
      <c r="F65" s="207">
        <v>-10.152414189999998</v>
      </c>
      <c r="G65" s="207">
        <v>-0.1519089899999999</v>
      </c>
      <c r="H65" s="208">
        <v>-60.20877582672672</v>
      </c>
      <c r="I65" s="208">
        <v>145.74783325930127</v>
      </c>
      <c r="J65" s="208">
        <v>145.74783325930127</v>
      </c>
      <c r="K65" s="239">
        <v>-2.213928766829587</v>
      </c>
      <c r="L65" s="150"/>
    </row>
    <row r="66" spans="1:12" ht="11.25">
      <c r="A66" s="150"/>
      <c r="B66" s="161" t="s">
        <v>155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208">
        <v>0</v>
      </c>
      <c r="I66" s="208">
        <v>0</v>
      </c>
      <c r="J66" s="208">
        <v>1</v>
      </c>
      <c r="K66" s="239">
        <v>2</v>
      </c>
      <c r="L66" s="150"/>
    </row>
    <row r="67" spans="1:12" ht="11.25">
      <c r="A67" s="150"/>
      <c r="B67" s="161" t="s">
        <v>156</v>
      </c>
      <c r="C67" s="207">
        <v>5344.1506540424</v>
      </c>
      <c r="D67" s="207">
        <v>6197.931534516525</v>
      </c>
      <c r="E67" s="207">
        <v>6173.615795634102</v>
      </c>
      <c r="F67" s="207">
        <v>-24.31573888242292</v>
      </c>
      <c r="G67" s="207">
        <v>829.4651415917024</v>
      </c>
      <c r="H67" s="208">
        <v>-0.3923202240458387</v>
      </c>
      <c r="I67" s="208">
        <v>17.10328700582615</v>
      </c>
      <c r="J67" s="208">
        <v>16.275962774733998</v>
      </c>
      <c r="K67" s="239">
        <v>15.520990991604666</v>
      </c>
      <c r="L67" s="150"/>
    </row>
    <row r="68" spans="1:12" ht="11.25">
      <c r="A68" s="150"/>
      <c r="B68" s="161" t="s">
        <v>97</v>
      </c>
      <c r="C68" s="207">
        <v>2113.8609699076</v>
      </c>
      <c r="D68" s="207">
        <v>2079.780569013113</v>
      </c>
      <c r="E68" s="207">
        <v>2378.212569055082</v>
      </c>
      <c r="F68" s="207">
        <v>298.4320000419689</v>
      </c>
      <c r="G68" s="207">
        <v>264.3515991474819</v>
      </c>
      <c r="H68" s="208">
        <v>14.349206088774032</v>
      </c>
      <c r="I68" s="208">
        <v>-20.292948284598232</v>
      </c>
      <c r="J68" s="208">
        <v>-0.8981503843648819</v>
      </c>
      <c r="K68" s="239">
        <v>12.505628464252183</v>
      </c>
      <c r="L68" s="150"/>
    </row>
    <row r="69" spans="1:12" ht="11.25" customHeight="1" hidden="1">
      <c r="A69" s="150"/>
      <c r="B69" s="161" t="s">
        <v>98</v>
      </c>
      <c r="C69" s="207">
        <v>3.484456326438213</v>
      </c>
      <c r="D69" s="207">
        <v>22.98013313219183</v>
      </c>
      <c r="E69" s="207">
        <v>-106.33227197410974</v>
      </c>
      <c r="F69" s="207">
        <v>-129.31240510630158</v>
      </c>
      <c r="G69" s="207">
        <v>-22.98013313219184</v>
      </c>
      <c r="H69" s="208">
        <v>-562.7139075410911</v>
      </c>
      <c r="I69" s="208">
        <v>288.14204933110454</v>
      </c>
      <c r="J69" s="208">
        <v>782.5972238661757</v>
      </c>
      <c r="K69" s="239">
        <v>-3151.6172972901586</v>
      </c>
      <c r="L69" s="150"/>
    </row>
    <row r="70" spans="1:12" ht="12" customHeight="1" hidden="1">
      <c r="A70" s="150"/>
      <c r="B70" s="161" t="s">
        <v>98</v>
      </c>
      <c r="C70" s="196"/>
      <c r="D70" s="196"/>
      <c r="E70" s="196"/>
      <c r="F70" s="196"/>
      <c r="G70" s="196"/>
      <c r="H70" s="196"/>
      <c r="I70" s="196"/>
      <c r="J70" s="196"/>
      <c r="K70" s="240"/>
      <c r="L70" s="150"/>
    </row>
    <row r="71" spans="1:12" ht="12" customHeight="1" hidden="1" thickBot="1">
      <c r="A71" s="150"/>
      <c r="B71" s="166"/>
      <c r="C71" s="197"/>
      <c r="D71" s="197"/>
      <c r="E71" s="197"/>
      <c r="F71" s="197"/>
      <c r="G71" s="197"/>
      <c r="H71" s="197"/>
      <c r="I71" s="197"/>
      <c r="J71" s="197"/>
      <c r="K71" s="241"/>
      <c r="L71" s="150"/>
    </row>
    <row r="72" spans="1:12" ht="12" customHeight="1" hidden="1">
      <c r="A72" s="150"/>
      <c r="B72" s="166"/>
      <c r="C72" s="56"/>
      <c r="D72" s="56"/>
      <c r="E72" s="56"/>
      <c r="F72" s="56"/>
      <c r="G72" s="38"/>
      <c r="H72" s="38"/>
      <c r="I72" s="38"/>
      <c r="J72" s="38"/>
      <c r="K72" s="112"/>
      <c r="L72" s="150"/>
    </row>
    <row r="73" spans="1:12" ht="12" customHeight="1" thickBot="1">
      <c r="A73" s="150"/>
      <c r="B73" s="167"/>
      <c r="C73" s="168"/>
      <c r="D73" s="168"/>
      <c r="E73" s="168"/>
      <c r="F73" s="168"/>
      <c r="G73" s="40"/>
      <c r="H73" s="40"/>
      <c r="I73" s="40"/>
      <c r="J73" s="40"/>
      <c r="K73" s="116"/>
      <c r="L73" s="150"/>
    </row>
    <row r="74" ht="11.25">
      <c r="B74" s="55"/>
    </row>
    <row r="75" spans="2:10" ht="11.25">
      <c r="B75" s="53"/>
      <c r="E75" s="271"/>
      <c r="J75" t="s">
        <v>123</v>
      </c>
    </row>
    <row r="76" ht="12" thickBot="1">
      <c r="B76" s="53"/>
    </row>
    <row r="77" spans="2:12" ht="11.25">
      <c r="B77" s="294" t="s">
        <v>77</v>
      </c>
      <c r="C77" s="295"/>
      <c r="D77" s="295"/>
      <c r="E77" s="295"/>
      <c r="F77" s="295"/>
      <c r="G77" s="295"/>
      <c r="H77" s="295"/>
      <c r="I77" s="295"/>
      <c r="J77" s="295"/>
      <c r="K77" s="296"/>
      <c r="L77" s="150"/>
    </row>
    <row r="78" spans="2:12" ht="12" thickBot="1">
      <c r="B78" s="317" t="s">
        <v>118</v>
      </c>
      <c r="C78" s="318"/>
      <c r="D78" s="318"/>
      <c r="E78" s="318"/>
      <c r="F78" s="318"/>
      <c r="G78" s="318"/>
      <c r="H78" s="318"/>
      <c r="I78" s="318"/>
      <c r="J78" s="318"/>
      <c r="K78" s="319"/>
      <c r="L78" s="150"/>
    </row>
    <row r="79" spans="2:12" ht="11.25">
      <c r="B79" s="152"/>
      <c r="C79" s="151"/>
      <c r="D79" s="43"/>
      <c r="E79" s="151"/>
      <c r="F79" s="290" t="s">
        <v>111</v>
      </c>
      <c r="G79" s="297"/>
      <c r="H79" s="172" t="s">
        <v>130</v>
      </c>
      <c r="I79" s="290" t="s">
        <v>133</v>
      </c>
      <c r="J79" s="291"/>
      <c r="K79" s="292"/>
      <c r="L79" s="150"/>
    </row>
    <row r="80" spans="2:11" ht="11.25">
      <c r="B80" s="153"/>
      <c r="C80" s="12">
        <f>C33</f>
        <v>39630</v>
      </c>
      <c r="D80" s="106">
        <f>D33</f>
        <v>39965</v>
      </c>
      <c r="E80" s="12">
        <f>E33</f>
        <v>39995</v>
      </c>
      <c r="F80" s="12" t="s">
        <v>114</v>
      </c>
      <c r="G80" s="97" t="s">
        <v>113</v>
      </c>
      <c r="H80" s="97" t="s">
        <v>134</v>
      </c>
      <c r="I80" s="12">
        <f>I33</f>
        <v>39934</v>
      </c>
      <c r="J80" s="12">
        <f>J33</f>
        <v>39965</v>
      </c>
      <c r="K80" s="221">
        <f>K33</f>
        <v>39995</v>
      </c>
    </row>
    <row r="81" spans="2:14" ht="11.25">
      <c r="B81" s="111" t="s">
        <v>55</v>
      </c>
      <c r="C81" s="209">
        <v>46060.871352252674</v>
      </c>
      <c r="D81" s="209">
        <v>48780.607578034986</v>
      </c>
      <c r="E81" s="209">
        <v>49037.13969729896</v>
      </c>
      <c r="F81" s="209">
        <v>256.5321192639749</v>
      </c>
      <c r="G81" s="209">
        <v>2976.2683450462864</v>
      </c>
      <c r="H81" s="210">
        <v>0.5258895532483826</v>
      </c>
      <c r="I81" s="210">
        <v>9.802738351494211</v>
      </c>
      <c r="J81" s="210">
        <v>10.332672807036957</v>
      </c>
      <c r="K81" s="242">
        <v>6.461598006440505</v>
      </c>
      <c r="L81" s="54"/>
      <c r="M81" s="54"/>
      <c r="N81" s="54"/>
    </row>
    <row r="82" spans="2:14" ht="11.25">
      <c r="B82" s="111" t="s">
        <v>1</v>
      </c>
      <c r="C82" s="209">
        <v>14588.045237542261</v>
      </c>
      <c r="D82" s="209">
        <v>15814.904826231972</v>
      </c>
      <c r="E82" s="209">
        <v>15975.293342059122</v>
      </c>
      <c r="F82" s="209">
        <v>160.3885158271496</v>
      </c>
      <c r="G82" s="209">
        <v>1387.2481045168606</v>
      </c>
      <c r="H82" s="210">
        <v>1.0141604871444772</v>
      </c>
      <c r="I82" s="210">
        <v>34.23575935159657</v>
      </c>
      <c r="J82" s="210">
        <v>40.516847299031426</v>
      </c>
      <c r="K82" s="242">
        <v>9.509485897032889</v>
      </c>
      <c r="L82" s="54"/>
      <c r="M82" s="54"/>
      <c r="N82" s="54"/>
    </row>
    <row r="83" spans="2:11" ht="11.25">
      <c r="B83" s="111" t="s">
        <v>74</v>
      </c>
      <c r="C83" s="209">
        <v>28993.97474759042</v>
      </c>
      <c r="D83" s="209">
        <v>30247.477632275866</v>
      </c>
      <c r="E83" s="209">
        <v>30425.709300744435</v>
      </c>
      <c r="F83" s="209">
        <v>178.2316684685684</v>
      </c>
      <c r="G83" s="209">
        <v>1431.7345531540159</v>
      </c>
      <c r="H83" s="210">
        <v>0.5892447318595073</v>
      </c>
      <c r="I83" s="210">
        <v>0.438660235941879</v>
      </c>
      <c r="J83" s="210">
        <v>-0.26637264761699697</v>
      </c>
      <c r="K83" s="242">
        <v>4.9380416642357705</v>
      </c>
    </row>
    <row r="84" spans="2:11" ht="11.25">
      <c r="B84" s="113" t="s">
        <v>157</v>
      </c>
      <c r="C84" s="211">
        <v>-5687.3655319095815</v>
      </c>
      <c r="D84" s="211">
        <v>-7592.821319030041</v>
      </c>
      <c r="E84" s="211">
        <v>-7737.996001060041</v>
      </c>
      <c r="F84" s="211">
        <v>-145.17468202999953</v>
      </c>
      <c r="G84" s="211">
        <v>-2050.6304691504592</v>
      </c>
      <c r="H84" s="212">
        <v>1.9119991888409822</v>
      </c>
      <c r="I84" s="212">
        <v>91.9718313659418</v>
      </c>
      <c r="J84" s="212">
        <v>82.83175500950004</v>
      </c>
      <c r="K84" s="243">
        <v>36.05589367599418</v>
      </c>
    </row>
    <row r="85" spans="2:11" ht="11.25">
      <c r="B85" s="113" t="s">
        <v>158</v>
      </c>
      <c r="C85" s="211">
        <v>34681.3402795</v>
      </c>
      <c r="D85" s="211">
        <v>37840.29895130591</v>
      </c>
      <c r="E85" s="211">
        <v>38163.705301804475</v>
      </c>
      <c r="F85" s="211">
        <v>323.4063504985679</v>
      </c>
      <c r="G85" s="211">
        <v>3482.365022304475</v>
      </c>
      <c r="H85" s="212">
        <v>0.8546611931230708</v>
      </c>
      <c r="I85" s="212">
        <v>11.43707953484574</v>
      </c>
      <c r="J85" s="212">
        <v>9.741940024485164</v>
      </c>
      <c r="K85" s="243">
        <v>10.041033576672032</v>
      </c>
    </row>
    <row r="86" spans="2:11" ht="11.25">
      <c r="B86" s="249" t="s">
        <v>49</v>
      </c>
      <c r="C86" s="211">
        <v>2888.69000524</v>
      </c>
      <c r="D86" s="211">
        <v>2910.350733605902</v>
      </c>
      <c r="E86" s="211">
        <v>2966.7304429214764</v>
      </c>
      <c r="F86" s="211">
        <v>56.37970931557447</v>
      </c>
      <c r="G86" s="211">
        <v>78.0404376814763</v>
      </c>
      <c r="H86" s="212">
        <v>1.9372135689542977</v>
      </c>
      <c r="I86" s="212">
        <v>4.246291840985683</v>
      </c>
      <c r="J86" s="212">
        <v>-0.14714665099435642</v>
      </c>
      <c r="K86" s="243">
        <v>2.701585754785496</v>
      </c>
    </row>
    <row r="87" spans="2:11" ht="11.25">
      <c r="B87" s="249" t="s">
        <v>142</v>
      </c>
      <c r="C87" s="211">
        <v>28.71355289</v>
      </c>
      <c r="D87" s="211">
        <v>93.17462861</v>
      </c>
      <c r="E87" s="211">
        <v>82.51245173000001</v>
      </c>
      <c r="F87" s="211">
        <v>-10.66217687999999</v>
      </c>
      <c r="G87" s="211">
        <v>53.79889884000001</v>
      </c>
      <c r="H87" s="212">
        <v>-11.443219081267868</v>
      </c>
      <c r="I87" s="212">
        <v>288.96618301020885</v>
      </c>
      <c r="J87" s="212">
        <v>371.0327934049739</v>
      </c>
      <c r="K87" s="243">
        <v>187.36413095969192</v>
      </c>
    </row>
    <row r="88" spans="2:11" ht="11.25">
      <c r="B88" s="249" t="s">
        <v>145</v>
      </c>
      <c r="C88" s="211">
        <v>559.95372014</v>
      </c>
      <c r="D88" s="211">
        <v>654.829145</v>
      </c>
      <c r="E88" s="211">
        <v>663.70561146</v>
      </c>
      <c r="F88" s="211">
        <v>8.87646645999996</v>
      </c>
      <c r="G88" s="211">
        <v>103.75189132000003</v>
      </c>
      <c r="H88" s="212">
        <v>1.3555393078907567</v>
      </c>
      <c r="I88" s="212">
        <v>15.288970346559383</v>
      </c>
      <c r="J88" s="212">
        <v>25.443237507440152</v>
      </c>
      <c r="K88" s="243">
        <v>18.528654706331782</v>
      </c>
    </row>
    <row r="89" spans="2:11" ht="11.25">
      <c r="B89" s="249" t="s">
        <v>129</v>
      </c>
      <c r="C89" s="211">
        <v>10514.59267079</v>
      </c>
      <c r="D89" s="211">
        <v>11675.187948100001</v>
      </c>
      <c r="E89" s="211">
        <v>12006.5000277</v>
      </c>
      <c r="F89" s="211">
        <v>331.31207959999847</v>
      </c>
      <c r="G89" s="211">
        <v>1491.90735691</v>
      </c>
      <c r="H89" s="212">
        <v>2.837745148710138</v>
      </c>
      <c r="I89" s="212">
        <v>16.580536515940935</v>
      </c>
      <c r="J89" s="212">
        <v>12.545373379037205</v>
      </c>
      <c r="K89" s="243">
        <v>14.188922040266805</v>
      </c>
    </row>
    <row r="90" spans="2:11" ht="11.25">
      <c r="B90" s="249" t="s">
        <v>50</v>
      </c>
      <c r="C90" s="211">
        <v>20689.39033044</v>
      </c>
      <c r="D90" s="211">
        <v>22501.381495990005</v>
      </c>
      <c r="E90" s="211">
        <v>22438.881767993</v>
      </c>
      <c r="F90" s="211">
        <v>-62.49972799700481</v>
      </c>
      <c r="G90" s="211">
        <v>1749.4914375529988</v>
      </c>
      <c r="H90" s="212">
        <v>-0.2777595144908901</v>
      </c>
      <c r="I90" s="212">
        <v>9.452111251939566</v>
      </c>
      <c r="J90" s="212">
        <v>8.960404801339372</v>
      </c>
      <c r="K90" s="243">
        <v>8.455983523975563</v>
      </c>
    </row>
    <row r="91" spans="2:11" ht="11.25">
      <c r="B91" s="249" t="s">
        <v>140</v>
      </c>
      <c r="C91" s="211">
        <v>0</v>
      </c>
      <c r="D91" s="211">
        <v>5.375</v>
      </c>
      <c r="E91" s="211">
        <v>5.375</v>
      </c>
      <c r="F91" s="211">
        <v>0</v>
      </c>
      <c r="G91" s="211">
        <v>5.375</v>
      </c>
      <c r="H91" s="212">
        <v>0</v>
      </c>
      <c r="I91" s="212">
        <v>0</v>
      </c>
      <c r="J91" s="212">
        <v>1</v>
      </c>
      <c r="K91" s="243">
        <v>2</v>
      </c>
    </row>
    <row r="92" spans="2:14" ht="11.25">
      <c r="B92" s="110" t="s">
        <v>152</v>
      </c>
      <c r="C92" s="211">
        <v>2478.8513671200008</v>
      </c>
      <c r="D92" s="211">
        <v>2718.225119527143</v>
      </c>
      <c r="E92" s="211">
        <v>2636.1370544954025</v>
      </c>
      <c r="F92" s="211">
        <v>-82.08806503174037</v>
      </c>
      <c r="G92" s="211">
        <v>157.28568737540172</v>
      </c>
      <c r="H92" s="212">
        <v>-3.01991415067271</v>
      </c>
      <c r="I92" s="212">
        <v>4.188957228837609</v>
      </c>
      <c r="J92" s="212">
        <v>3.385172820444571</v>
      </c>
      <c r="K92" s="243">
        <v>6.3451036016790585</v>
      </c>
      <c r="L92" s="54"/>
      <c r="M92" s="54"/>
      <c r="N92" s="54"/>
    </row>
    <row r="93" spans="2:11" ht="11.25">
      <c r="B93" s="110"/>
      <c r="C93" s="211"/>
      <c r="D93" s="211"/>
      <c r="E93" s="211"/>
      <c r="F93" s="209"/>
      <c r="G93" s="209"/>
      <c r="H93" s="210"/>
      <c r="I93" s="210"/>
      <c r="J93" s="210"/>
      <c r="K93" s="242"/>
    </row>
    <row r="94" spans="2:14" ht="11.25">
      <c r="B94" s="111" t="s">
        <v>61</v>
      </c>
      <c r="C94" s="209">
        <v>46060.87271772311</v>
      </c>
      <c r="D94" s="209">
        <v>48780.63335226909</v>
      </c>
      <c r="E94" s="209">
        <v>49037.17188995843</v>
      </c>
      <c r="F94" s="209">
        <v>256.53853768933914</v>
      </c>
      <c r="G94" s="209">
        <v>2976.299172235318</v>
      </c>
      <c r="H94" s="210">
        <v>0.52590243311674</v>
      </c>
      <c r="I94" s="210">
        <v>9.802723139853931</v>
      </c>
      <c r="J94" s="210">
        <v>10.332810851769626</v>
      </c>
      <c r="K94" s="242">
        <v>6.461664741949402</v>
      </c>
      <c r="L94" s="54"/>
      <c r="M94" s="54"/>
      <c r="N94" s="54"/>
    </row>
    <row r="95" spans="2:11" ht="11.25">
      <c r="B95" s="111" t="s">
        <v>75</v>
      </c>
      <c r="C95" s="209">
        <v>29776.180892286677</v>
      </c>
      <c r="D95" s="209">
        <v>30310.085646372143</v>
      </c>
      <c r="E95" s="209">
        <v>30465.37426194036</v>
      </c>
      <c r="F95" s="209">
        <v>155.2886155682172</v>
      </c>
      <c r="G95" s="209">
        <v>689.1933696536835</v>
      </c>
      <c r="H95" s="210">
        <v>0.5123331467286828</v>
      </c>
      <c r="I95" s="210">
        <v>8.318047713934407</v>
      </c>
      <c r="J95" s="210">
        <v>8.234038185496484</v>
      </c>
      <c r="K95" s="242">
        <v>2.3145794692301047</v>
      </c>
    </row>
    <row r="96" spans="2:11" ht="11.25">
      <c r="B96" s="113" t="s">
        <v>159</v>
      </c>
      <c r="C96" s="211">
        <v>985.97166874</v>
      </c>
      <c r="D96" s="211">
        <v>1187.0144882219029</v>
      </c>
      <c r="E96" s="211">
        <v>1266.3483049819029</v>
      </c>
      <c r="F96" s="211">
        <v>79.33381675999999</v>
      </c>
      <c r="G96" s="211">
        <v>280.3766362419028</v>
      </c>
      <c r="H96" s="212">
        <v>6.6834750162854935</v>
      </c>
      <c r="I96" s="212">
        <v>31.152579540686954</v>
      </c>
      <c r="J96" s="212">
        <v>23.99207046960243</v>
      </c>
      <c r="K96" s="243">
        <v>28.436581408084848</v>
      </c>
    </row>
    <row r="97" spans="2:11" ht="11.25">
      <c r="B97" s="113" t="s">
        <v>160</v>
      </c>
      <c r="C97" s="211">
        <v>18716.079798290513</v>
      </c>
      <c r="D97" s="211">
        <v>19036.189702452895</v>
      </c>
      <c r="E97" s="211">
        <v>19003.904957672894</v>
      </c>
      <c r="F97" s="211">
        <v>-32.28474478000135</v>
      </c>
      <c r="G97" s="211">
        <v>287.82515938238066</v>
      </c>
      <c r="H97" s="212">
        <v>-0.16959667498922495</v>
      </c>
      <c r="I97" s="212">
        <v>13.586327371229178</v>
      </c>
      <c r="J97" s="212">
        <v>10.224542860771768</v>
      </c>
      <c r="K97" s="243">
        <v>1.5378496057099955</v>
      </c>
    </row>
    <row r="98" spans="2:13" ht="11.25">
      <c r="B98" s="113" t="s">
        <v>161</v>
      </c>
      <c r="C98" s="211">
        <v>10070.199675790001</v>
      </c>
      <c r="D98" s="211">
        <v>10082.94237877178</v>
      </c>
      <c r="E98" s="211">
        <v>10191.18192236</v>
      </c>
      <c r="F98" s="211">
        <v>108.23954358821902</v>
      </c>
      <c r="G98" s="211">
        <v>120.9822465699981</v>
      </c>
      <c r="H98" s="212">
        <v>1.0734916408537867</v>
      </c>
      <c r="I98" s="212">
        <v>-2.1136455166902213</v>
      </c>
      <c r="J98" s="212">
        <v>3.175904882028213</v>
      </c>
      <c r="K98" s="243">
        <v>1.201388755585997</v>
      </c>
      <c r="L98" s="54"/>
      <c r="M98" s="54"/>
    </row>
    <row r="99" spans="2:11" ht="11.25">
      <c r="B99" s="113" t="s">
        <v>107</v>
      </c>
      <c r="C99" s="211">
        <v>3.9297494661639343</v>
      </c>
      <c r="D99" s="211">
        <v>3.93907692556274</v>
      </c>
      <c r="E99" s="211">
        <v>3.93907692556274</v>
      </c>
      <c r="F99" s="211">
        <v>0</v>
      </c>
      <c r="G99" s="211">
        <v>0.009327459398805527</v>
      </c>
      <c r="H99" s="212">
        <v>0</v>
      </c>
      <c r="I99" s="212">
        <v>0.1672432020378034</v>
      </c>
      <c r="J99" s="212">
        <v>0.2373550649759526</v>
      </c>
      <c r="K99" s="243">
        <v>0.2373550649759526</v>
      </c>
    </row>
    <row r="100" spans="2:14" ht="11.25">
      <c r="B100" s="110" t="s">
        <v>162</v>
      </c>
      <c r="C100" s="211">
        <v>16288.621574902603</v>
      </c>
      <c r="D100" s="211">
        <v>18474.48678282251</v>
      </c>
      <c r="E100" s="211">
        <v>18575.736704943633</v>
      </c>
      <c r="F100" s="211">
        <v>101.24992212112193</v>
      </c>
      <c r="G100" s="211">
        <v>2287.1151300410293</v>
      </c>
      <c r="H100" s="212">
        <v>0.5480526918629406</v>
      </c>
      <c r="I100" s="212">
        <v>12.325737230009647</v>
      </c>
      <c r="J100" s="212">
        <v>13.955735144013959</v>
      </c>
      <c r="K100" s="243">
        <v>14.041182794528172</v>
      </c>
      <c r="N100" s="54"/>
    </row>
    <row r="101" spans="2:11" ht="12" thickBot="1">
      <c r="B101" s="169"/>
      <c r="C101" s="218"/>
      <c r="D101" s="218"/>
      <c r="E101" s="218"/>
      <c r="F101" s="219"/>
      <c r="G101" s="219"/>
      <c r="H101" s="220"/>
      <c r="I101" s="220"/>
      <c r="J101" s="220"/>
      <c r="K101" s="244"/>
    </row>
    <row r="102" spans="2:13" ht="12" customHeight="1" hidden="1" thickBot="1">
      <c r="B102" s="39" t="s">
        <v>76</v>
      </c>
      <c r="C102" s="213">
        <v>-0.02241342821798753</v>
      </c>
      <c r="D102" s="213">
        <v>-0.04190398721402744</v>
      </c>
      <c r="E102" s="213">
        <v>-0.017016961370245554</v>
      </c>
      <c r="F102" s="213">
        <v>0.024887025843781885</v>
      </c>
      <c r="G102" s="213">
        <v>0.005396466847741976</v>
      </c>
      <c r="H102" s="213">
        <v>6.314336995538739E-05</v>
      </c>
      <c r="I102" s="213">
        <v>-0.00017943695699784712</v>
      </c>
      <c r="J102" s="213">
        <v>-0.00017625866459880513</v>
      </c>
      <c r="K102" s="213">
        <v>2.6387598804689105E-05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sin566</cp:lastModifiedBy>
  <cp:lastPrinted>2009-09-04T12:47:00Z</cp:lastPrinted>
  <dcterms:created xsi:type="dcterms:W3CDTF">1999-07-02T10:21:54Z</dcterms:created>
  <dcterms:modified xsi:type="dcterms:W3CDTF">2009-09-08T14:47:11Z</dcterms:modified>
  <cp:category/>
  <cp:version/>
  <cp:contentType/>
  <cp:contentStatus/>
</cp:coreProperties>
</file>