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635" windowWidth="12990" windowHeight="5865" tabRatio="616" activeTab="1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'S2'!$A$4:$Q$74</definedName>
    <definedName name="_xlnm.Print_Area" localSheetId="3">'S3'!$A$2:$R$91</definedName>
    <definedName name="_xlnm.Print_Area" localSheetId="4">'S4'!$A$1:$C$88</definedName>
    <definedName name="_xlnm.Print_Area" localSheetId="5">'S5'!$A$4:$P$69</definedName>
    <definedName name="_xlnm.Print_Area" localSheetId="6">'S6'!$B$2:$BZ$22</definedName>
    <definedName name="_xlnm.Print_Area" localSheetId="7">'S7'!$A$4:$R$71</definedName>
    <definedName name="_xlnm.Print_Area" localSheetId="8">'S8'!$B$77:$K$102</definedName>
    <definedName name="Z_1119964D_FB32_11D4_9C51_0090277BCB1A_.wvu.Cols" localSheetId="6" hidden="1">'S6'!$B:$B</definedName>
    <definedName name="Z_1119964D_FB32_11D4_9C51_0090277BCB1A_.wvu.PrintArea" localSheetId="2" hidden="1">'S2'!$A$1:$L$26</definedName>
    <definedName name="Z_1119964D_FB32_11D4_9C51_0090277BCB1A_.wvu.PrintArea" localSheetId="4" hidden="1">'S4'!$A$2:$A$85</definedName>
    <definedName name="Z_1119964D_FB32_11D4_9C51_0090277BCB1A_.wvu.PrintArea" localSheetId="5" hidden="1">'S5'!$A$1:$J$46</definedName>
    <definedName name="Z_1119964D_FB32_11D4_9C51_0090277BCB1A_.wvu.PrintArea" localSheetId="6" hidden="1">'S6'!$B$2:$B$20</definedName>
    <definedName name="Z_1119964D_FB32_11D4_9C51_0090277BCB1A_.wvu.PrintArea" localSheetId="7" hidden="1">'S7'!$A$1:$J$63</definedName>
    <definedName name="Z_4BE07961_847F_11D4_A83A_00D0B7747A8F_.wvu.PrintArea" localSheetId="2" hidden="1">'S2'!$A$1:$L$26</definedName>
    <definedName name="Z_4BE07961_847F_11D4_A83A_00D0B7747A8F_.wvu.PrintArea" localSheetId="4" hidden="1">'S4'!$A$2:$A$85</definedName>
    <definedName name="Z_4BE07961_847F_11D4_A83A_00D0B7747A8F_.wvu.PrintArea" localSheetId="5" hidden="1">'S5'!$A$1:$J$46</definedName>
    <definedName name="Z_4BE07961_847F_11D4_A83A_00D0B7747A8F_.wvu.PrintArea" localSheetId="7" hidden="1">'S7'!$A$1:$J$63</definedName>
    <definedName name="Z_5050E6E2_8401_11D4_81A4_00608C91AED9_.wvu.Cols" localSheetId="6" hidden="1">'S6'!$B:$B</definedName>
    <definedName name="Z_5050E6E2_8401_11D4_81A4_00608C91AED9_.wvu.PrintArea" localSheetId="2" hidden="1">'S2'!$A$1:$L$26</definedName>
    <definedName name="Z_5050E6E2_8401_11D4_81A4_00608C91AED9_.wvu.PrintArea" localSheetId="4" hidden="1">'S4'!$A$2:$A$85</definedName>
    <definedName name="Z_5050E6E2_8401_11D4_81A4_00608C91AED9_.wvu.PrintArea" localSheetId="5" hidden="1">'S5'!$A$1:$J$46</definedName>
    <definedName name="Z_5050E6E2_8401_11D4_81A4_00608C91AED9_.wvu.PrintArea" localSheetId="6" hidden="1">'S6'!$B$2:$B$21</definedName>
    <definedName name="Z_5050E6E2_8401_11D4_81A4_00608C91AED9_.wvu.PrintArea" localSheetId="7" hidden="1">'S7'!$A$1:$I$63</definedName>
  </definedNames>
  <calcPr fullCalcOnLoad="1"/>
</workbook>
</file>

<file path=xl/sharedStrings.xml><?xml version="1.0" encoding="utf-8"?>
<sst xmlns="http://schemas.openxmlformats.org/spreadsheetml/2006/main" count="254" uniqueCount="169">
  <si>
    <t>Trade credit and advances</t>
  </si>
  <si>
    <t>Net Foreign Assets</t>
  </si>
  <si>
    <t>Money Market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</si>
  <si>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</si>
  <si>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</si>
  <si>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</si>
  <si>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</si>
  <si>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</si>
  <si>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</si>
  <si>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</si>
  <si>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</si>
  <si>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</si>
  <si>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</si>
  <si>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</si>
  <si>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</si>
  <si>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</si>
  <si>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</si>
  <si>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</si>
  <si>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</si>
  <si>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</si>
  <si>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</si>
  <si>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</si>
  <si>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</si>
  <si>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</si>
  <si>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</si>
  <si>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</si>
  <si>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</si>
  <si>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</si>
  <si>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</si>
  <si>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</si>
  <si>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</si>
  <si>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</si>
  <si>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</si>
  <si>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</si>
  <si>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</si>
  <si>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</si>
  <si>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</si>
  <si>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</si>
  <si>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</si>
  <si>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</si>
  <si>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</si>
  <si>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</si>
  <si>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</si>
  <si>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</si>
  <si>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</si>
  <si>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</si>
  <si>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</si>
  <si>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</si>
  <si>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</si>
  <si>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</si>
  <si>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</si>
  <si>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</si>
  <si>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</si>
  <si>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</si>
  <si>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</si>
  <si>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</si>
  <si>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</si>
  <si>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</si>
  <si>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</si>
  <si>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</si>
  <si>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</si>
  <si>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</si>
  <si>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</si>
  <si>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</si>
  <si>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</si>
  <si>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</si>
  <si>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</si>
  <si>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</si>
  <si>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</si>
  <si>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</si>
  <si>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</si>
  <si>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</si>
  <si>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</si>
  <si>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</si>
  <si>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</si>
  <si>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Check</t>
  </si>
  <si>
    <t>Money and Banking Statistics</t>
  </si>
  <si>
    <t>Central government</t>
  </si>
  <si>
    <t>Central bank</t>
  </si>
  <si>
    <t>State and local governments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</si>
  <si>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</si>
  <si>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</si>
  <si>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</si>
  <si>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</si>
  <si>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</si>
  <si>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</si>
  <si>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</si>
  <si>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</si>
  <si>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</si>
  <si>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</si>
  <si>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</si>
  <si>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</si>
  <si>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</si>
  <si>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</si>
  <si>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</si>
  <si>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</si>
  <si>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</si>
  <si>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</si>
  <si>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</si>
  <si>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</si>
  <si>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</si>
  <si>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</si>
  <si>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</si>
  <si>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</si>
  <si>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</si>
  <si>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</si>
  <si>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</si>
  <si>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>*  The consumer price inflation is based on the NCPI (nation wide CPI)</t>
  </si>
  <si>
    <t xml:space="preserve">  Selected interest rates</t>
  </si>
  <si>
    <t xml:space="preserve">    Money Supply (month-on-month  percentage changes)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</si>
  <si>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</si>
  <si>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</si>
  <si>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</si>
  <si>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</si>
  <si>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</si>
  <si>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</si>
  <si>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</si>
  <si>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</si>
  <si>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</si>
  <si>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</si>
  <si>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Securities other than shares included in M2</t>
  </si>
  <si>
    <t>Securities other than shares excluded from M2</t>
  </si>
  <si>
    <t xml:space="preserve"> </t>
  </si>
  <si>
    <t xml:space="preserve">       International reserves** and exchange rates</t>
  </si>
  <si>
    <t xml:space="preserve">    Money Supply (annual  percentage changes)</t>
  </si>
  <si>
    <t>*Other sector = Private sector</t>
  </si>
  <si>
    <t>Claims on the *Other sectors  by the Other Depository Corporations (N$ million)</t>
  </si>
  <si>
    <t>Other resident sectors (Individuals)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</si>
  <si>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</si>
  <si>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</si>
  <si>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</si>
  <si>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</si>
  <si>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</si>
  <si>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</si>
  <si>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>Domestic claims vs claims on other sectors (annual percentage changes)</t>
  </si>
  <si>
    <t>Money and Banking Statistics*</t>
  </si>
  <si>
    <t>DevX</t>
  </si>
  <si>
    <t xml:space="preserve">    volume [000 shares]</t>
  </si>
  <si>
    <t>Unclassified shares and other equity</t>
  </si>
  <si>
    <t>Claims on other sectors</t>
  </si>
  <si>
    <t>State and local government</t>
  </si>
  <si>
    <t xml:space="preserve">    U.S Dollar/Namibia Dollar exchange rate</t>
  </si>
  <si>
    <t>Net Claims on central Government</t>
  </si>
  <si>
    <t>Public nonfinancial corporations</t>
  </si>
  <si>
    <t>Other nonfinancial corporations</t>
  </si>
  <si>
    <t>Total Claims on the Private Sector</t>
  </si>
  <si>
    <t>Other nonfinancial corporations (Businesses)</t>
  </si>
  <si>
    <t>Claims on nonresidents</t>
  </si>
  <si>
    <t>Liabilities to central government</t>
  </si>
  <si>
    <t>Other non financial corporations</t>
  </si>
  <si>
    <t>Other Assets</t>
  </si>
  <si>
    <t>Securities other than shars</t>
  </si>
  <si>
    <t>Deposits excluded from M2</t>
  </si>
  <si>
    <t>Financial Derivatives</t>
  </si>
  <si>
    <t>Shares and Equity</t>
  </si>
  <si>
    <t>Net Claims on the Central Government</t>
  </si>
  <si>
    <t>Claims on other Sectors</t>
  </si>
  <si>
    <t>Currency Outside Depository Corporations</t>
  </si>
  <si>
    <t>Transferable Deposits</t>
  </si>
  <si>
    <t>Other Deposits</t>
  </si>
  <si>
    <t>Other Liabilities</t>
  </si>
  <si>
    <t>Annual inflation (Namibia vs South Africa)</t>
  </si>
  <si>
    <t>EU per NAD</t>
  </si>
  <si>
    <t>One Month</t>
  </si>
  <si>
    <t>One Year</t>
  </si>
  <si>
    <t xml:space="preserve">    Domestic and other sectors claims (month-on-month  percentage changes)</t>
  </si>
  <si>
    <t xml:space="preserve">     Foreign  Reserves</t>
  </si>
  <si>
    <t xml:space="preserve">  Namibia Stock Exchange</t>
  </si>
  <si>
    <t>Repo Rate [%]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</si>
</sst>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0.0000"/>
    <numFmt numFmtId="167" formatCode="0.000"/>
    <numFmt numFmtId="168" formatCode="#,##0.0"/>
    <numFmt numFmtId="169" formatCode="_(* #,##0.0_);_(* \(#,##0.0\);_(* &quot;-&quot;??_);_(@_)"/>
    <numFmt numFmtId="170" formatCode="[$-409]mmm\-yy;@"/>
    <numFmt numFmtId="171" formatCode="[$-409]mmmm\-yy;@"/>
    <numFmt numFmtId="172" formatCode="#,##0.0_);\(#,##0.0\)"/>
    <numFmt numFmtId="173" formatCode="_(* #,##0.0000_);_(* \(#,##0.0000\);_(* &quot;-&quot;??_);_(@_)"/>
    <numFmt numFmtId="174" formatCode="#,##0.000000"/>
    <numFmt numFmtId="175" formatCode="0.0%"/>
  </numFmts>
  <fonts count="107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sz val="10"/>
      <color indexed="37"/>
      <name val="Univers"/>
      <family val="0"/>
    </font>
    <font>
      <sz val="10"/>
      <color indexed="37"/>
      <name val="Arial"/>
      <family val="2"/>
    </font>
    <font>
      <b/>
      <sz val="8"/>
      <name val="Univers"/>
      <family val="0"/>
    </font>
    <font>
      <sz val="10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11"/>
      <color indexed="25"/>
      <name val="Arial"/>
      <family val="2"/>
    </font>
    <font>
      <sz val="8"/>
      <color indexed="25"/>
      <name val="Arial"/>
      <family val="2"/>
    </font>
    <font>
      <sz val="9"/>
      <color indexed="25"/>
      <name val="Univers"/>
      <family val="0"/>
    </font>
    <font>
      <sz val="8"/>
      <color indexed="25"/>
      <name val="Univers"/>
      <family val="0"/>
    </font>
    <font>
      <b/>
      <sz val="16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11"/>
      <color rgb="FF993366"/>
      <name val="Arial"/>
      <family val="2"/>
    </font>
    <font>
      <sz val="8"/>
      <color rgb="FF993366"/>
      <name val="Arial"/>
      <family val="2"/>
    </font>
    <font>
      <sz val="9"/>
      <color rgb="FF993366"/>
      <name val="Univers"/>
      <family val="0"/>
    </font>
    <font>
      <sz val="8"/>
      <color rgb="FF993366"/>
      <name val="Univers"/>
      <family val="0"/>
    </font>
    <font>
      <b/>
      <sz val="16"/>
      <color rgb="FF99336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lightTrellis">
        <fgColor indexed="26"/>
        <bgColor rgb="FFFFFFCC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68" fontId="13" fillId="33" borderId="14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4" fillId="0" borderId="0" xfId="0" applyNumberFormat="1" applyFont="1" applyAlignment="1">
      <alignment horizontal="center"/>
    </xf>
    <xf numFmtId="168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68" fontId="15" fillId="0" borderId="0" xfId="0" applyNumberFormat="1" applyFont="1" applyBorder="1" applyAlignment="1">
      <alignment/>
    </xf>
    <xf numFmtId="168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68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68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68" fontId="28" fillId="0" borderId="0" xfId="0" applyNumberFormat="1" applyFont="1" applyFill="1" applyBorder="1" applyAlignment="1">
      <alignment/>
    </xf>
    <xf numFmtId="165" fontId="28" fillId="0" borderId="0" xfId="0" applyNumberFormat="1" applyFont="1" applyFill="1" applyBorder="1" applyAlignment="1">
      <alignment/>
    </xf>
    <xf numFmtId="170" fontId="10" fillId="35" borderId="19" xfId="0" applyNumberFormat="1" applyFont="1" applyFill="1" applyBorder="1" applyAlignment="1">
      <alignment horizontal="center"/>
    </xf>
    <xf numFmtId="165" fontId="9" fillId="35" borderId="15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68" fontId="0" fillId="0" borderId="0" xfId="0" applyNumberFormat="1" applyAlignment="1">
      <alignment/>
    </xf>
    <xf numFmtId="165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65" fontId="0" fillId="0" borderId="0" xfId="0" applyNumberFormat="1" applyAlignment="1">
      <alignment/>
    </xf>
    <xf numFmtId="0" fontId="29" fillId="0" borderId="0" xfId="0" applyFont="1" applyAlignment="1">
      <alignment horizontal="left"/>
    </xf>
    <xf numFmtId="168" fontId="26" fillId="35" borderId="0" xfId="121" applyNumberFormat="1" applyFont="1" applyFill="1" applyBorder="1">
      <alignment/>
      <protection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1" xfId="0" applyFont="1" applyBorder="1" applyAlignment="1">
      <alignment/>
    </xf>
    <xf numFmtId="0" fontId="36" fillId="34" borderId="21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1" xfId="0" applyFont="1" applyFill="1" applyBorder="1" applyAlignment="1">
      <alignment/>
    </xf>
    <xf numFmtId="0" fontId="36" fillId="35" borderId="21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68" fontId="38" fillId="35" borderId="15" xfId="0" applyNumberFormat="1" applyFont="1" applyFill="1" applyBorder="1" applyAlignment="1">
      <alignment horizontal="center"/>
    </xf>
    <xf numFmtId="165" fontId="38" fillId="35" borderId="15" xfId="0" applyNumberFormat="1" applyFont="1" applyFill="1" applyBorder="1" applyAlignment="1">
      <alignment/>
    </xf>
    <xf numFmtId="165" fontId="38" fillId="35" borderId="15" xfId="0" applyNumberFormat="1" applyFont="1" applyFill="1" applyBorder="1" applyAlignment="1">
      <alignment horizontal="right"/>
    </xf>
    <xf numFmtId="165" fontId="38" fillId="35" borderId="21" xfId="0" applyNumberFormat="1" applyFont="1" applyFill="1" applyBorder="1" applyAlignment="1">
      <alignment/>
    </xf>
    <xf numFmtId="165" fontId="38" fillId="35" borderId="21" xfId="0" applyNumberFormat="1" applyFont="1" applyFill="1" applyBorder="1" applyAlignment="1">
      <alignment horizontal="right"/>
    </xf>
    <xf numFmtId="165" fontId="38" fillId="35" borderId="15" xfId="0" applyNumberFormat="1" applyFont="1" applyFill="1" applyBorder="1" applyAlignment="1">
      <alignment/>
    </xf>
    <xf numFmtId="165" fontId="38" fillId="35" borderId="15" xfId="0" applyNumberFormat="1" applyFont="1" applyFill="1" applyBorder="1" applyAlignment="1">
      <alignment horizontal="center"/>
    </xf>
    <xf numFmtId="165" fontId="38" fillId="35" borderId="21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66" fontId="38" fillId="35" borderId="15" xfId="0" applyNumberFormat="1" applyFont="1" applyFill="1" applyBorder="1" applyAlignment="1">
      <alignment/>
    </xf>
    <xf numFmtId="166" fontId="38" fillId="35" borderId="15" xfId="0" applyNumberFormat="1" applyFont="1" applyFill="1" applyBorder="1" applyAlignment="1">
      <alignment horizontal="center"/>
    </xf>
    <xf numFmtId="166" fontId="38" fillId="35" borderId="15" xfId="0" applyNumberFormat="1" applyFont="1" applyFill="1" applyBorder="1" applyAlignment="1">
      <alignment horizontal="right"/>
    </xf>
    <xf numFmtId="166" fontId="38" fillId="35" borderId="21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0" fillId="34" borderId="20" xfId="0" applyFont="1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8" fillId="34" borderId="20" xfId="0" applyFont="1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20" xfId="0" applyNumberFormat="1" applyFont="1" applyBorder="1" applyAlignment="1">
      <alignment/>
    </xf>
    <xf numFmtId="0" fontId="42" fillId="0" borderId="0" xfId="0" applyFont="1" applyAlignment="1">
      <alignment/>
    </xf>
    <xf numFmtId="0" fontId="26" fillId="35" borderId="23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68" fontId="4" fillId="0" borderId="24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Border="1" applyAlignment="1">
      <alignment/>
    </xf>
    <xf numFmtId="165" fontId="9" fillId="35" borderId="15" xfId="0" applyNumberFormat="1" applyFont="1" applyFill="1" applyBorder="1" applyAlignment="1">
      <alignment horizontal="right"/>
    </xf>
    <xf numFmtId="168" fontId="9" fillId="35" borderId="20" xfId="0" applyNumberFormat="1" applyFont="1" applyFill="1" applyBorder="1" applyAlignment="1">
      <alignment/>
    </xf>
    <xf numFmtId="168" fontId="9" fillId="35" borderId="16" xfId="0" applyNumberFormat="1" applyFont="1" applyFill="1" applyBorder="1" applyAlignment="1">
      <alignment/>
    </xf>
    <xf numFmtId="17" fontId="13" fillId="33" borderId="23" xfId="0" applyNumberFormat="1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68" fontId="26" fillId="35" borderId="21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68" fontId="26" fillId="35" borderId="22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168" fontId="15" fillId="35" borderId="29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17" fontId="4" fillId="36" borderId="17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41" fillId="0" borderId="15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17" fontId="39" fillId="33" borderId="15" xfId="0" applyNumberFormat="1" applyFont="1" applyFill="1" applyBorder="1" applyAlignment="1">
      <alignment horizontal="center"/>
    </xf>
    <xf numFmtId="17" fontId="39" fillId="33" borderId="21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7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68" fontId="27" fillId="35" borderId="11" xfId="121" applyNumberFormat="1" applyFont="1" applyFill="1" applyBorder="1" applyAlignment="1">
      <alignment horizontal="left" indent="1"/>
      <protection/>
    </xf>
    <xf numFmtId="168" fontId="4" fillId="35" borderId="11" xfId="121" applyNumberFormat="1" applyFont="1" applyFill="1" applyBorder="1">
      <alignment/>
      <protection/>
    </xf>
    <xf numFmtId="168" fontId="26" fillId="35" borderId="12" xfId="121" applyNumberFormat="1" applyFont="1" applyFill="1" applyBorder="1">
      <alignment/>
      <protection/>
    </xf>
    <xf numFmtId="168" fontId="26" fillId="35" borderId="11" xfId="0" applyNumberFormat="1" applyFont="1" applyFill="1" applyBorder="1" applyAlignment="1">
      <alignment/>
    </xf>
    <xf numFmtId="168" fontId="27" fillId="35" borderId="11" xfId="0" applyNumberFormat="1" applyFont="1" applyFill="1" applyBorder="1" applyAlignment="1">
      <alignment horizontal="left" indent="1"/>
    </xf>
    <xf numFmtId="168" fontId="27" fillId="35" borderId="11" xfId="0" applyNumberFormat="1" applyFont="1" applyFill="1" applyBorder="1" applyAlignment="1">
      <alignment horizontal="left"/>
    </xf>
    <xf numFmtId="168" fontId="26" fillId="35" borderId="11" xfId="0" applyNumberFormat="1" applyFont="1" applyFill="1" applyBorder="1" applyAlignment="1">
      <alignment horizontal="left" indent="2"/>
    </xf>
    <xf numFmtId="168" fontId="26" fillId="35" borderId="11" xfId="0" applyNumberFormat="1" applyFont="1" applyFill="1" applyBorder="1" applyAlignment="1">
      <alignment horizontal="left"/>
    </xf>
    <xf numFmtId="168" fontId="4" fillId="35" borderId="11" xfId="0" applyNumberFormat="1" applyFont="1" applyFill="1" applyBorder="1" applyAlignment="1">
      <alignment horizontal="left" indent="2"/>
    </xf>
    <xf numFmtId="168" fontId="4" fillId="35" borderId="11" xfId="0" applyNumberFormat="1" applyFont="1" applyFill="1" applyBorder="1" applyAlignment="1">
      <alignment/>
    </xf>
    <xf numFmtId="168" fontId="27" fillId="35" borderId="12" xfId="0" applyNumberFormat="1" applyFont="1" applyFill="1" applyBorder="1" applyAlignment="1">
      <alignment horizontal="left" indent="1"/>
    </xf>
    <xf numFmtId="168" fontId="26" fillId="35" borderId="18" xfId="121" applyNumberFormat="1" applyFont="1" applyFill="1" applyBorder="1">
      <alignment/>
      <protection/>
    </xf>
    <xf numFmtId="0" fontId="4" fillId="35" borderId="12" xfId="0" applyFont="1" applyFill="1" applyBorder="1" applyAlignment="1">
      <alignment/>
    </xf>
    <xf numFmtId="0" fontId="15" fillId="0" borderId="31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50" fillId="0" borderId="0" xfId="0" applyFont="1" applyAlignment="1">
      <alignment/>
    </xf>
    <xf numFmtId="46" fontId="13" fillId="33" borderId="32" xfId="0" applyNumberFormat="1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51" fillId="0" borderId="0" xfId="0" applyFont="1" applyAlignment="1">
      <alignment/>
    </xf>
    <xf numFmtId="43" fontId="9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17" fontId="39" fillId="33" borderId="19" xfId="0" applyNumberFormat="1" applyFont="1" applyFill="1" applyBorder="1" applyAlignment="1">
      <alignment horizontal="center"/>
    </xf>
    <xf numFmtId="168" fontId="26" fillId="35" borderId="0" xfId="114" applyNumberFormat="1" applyFont="1" applyFill="1" applyBorder="1">
      <alignment/>
      <protection/>
    </xf>
    <xf numFmtId="168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68" fontId="26" fillId="35" borderId="18" xfId="114" applyNumberFormat="1" applyFont="1" applyFill="1" applyBorder="1">
      <alignment/>
      <protection/>
    </xf>
    <xf numFmtId="168" fontId="4" fillId="35" borderId="0" xfId="114" applyNumberFormat="1" applyFont="1" applyFill="1" applyBorder="1" applyAlignment="1">
      <alignment horizontal="right"/>
      <protection/>
    </xf>
    <xf numFmtId="168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68" fontId="26" fillId="35" borderId="18" xfId="114" applyNumberFormat="1" applyFont="1" applyFill="1" applyBorder="1" applyAlignment="1">
      <alignment horizontal="right"/>
      <protection/>
    </xf>
    <xf numFmtId="168" fontId="26" fillId="35" borderId="0" xfId="114" applyNumberFormat="1" applyFont="1" applyFill="1" applyBorder="1" applyAlignment="1">
      <alignment horizontal="right"/>
      <protection/>
    </xf>
    <xf numFmtId="168" fontId="26" fillId="35" borderId="0" xfId="119" applyNumberFormat="1" applyFont="1" applyFill="1" applyBorder="1">
      <alignment/>
      <protection/>
    </xf>
    <xf numFmtId="165" fontId="26" fillId="35" borderId="0" xfId="119" applyNumberFormat="1" applyFont="1" applyFill="1" applyBorder="1">
      <alignment/>
      <protection/>
    </xf>
    <xf numFmtId="168" fontId="4" fillId="35" borderId="0" xfId="119" applyNumberFormat="1" applyFont="1" applyFill="1" applyBorder="1">
      <alignment/>
      <protection/>
    </xf>
    <xf numFmtId="165" fontId="4" fillId="35" borderId="0" xfId="119" applyNumberFormat="1" applyFont="1" applyFill="1" applyBorder="1">
      <alignment/>
      <protection/>
    </xf>
    <xf numFmtId="168" fontId="26" fillId="35" borderId="23" xfId="119" applyNumberFormat="1" applyFont="1" applyFill="1" applyBorder="1">
      <alignment/>
      <protection/>
    </xf>
    <xf numFmtId="168" fontId="26" fillId="35" borderId="34" xfId="119" applyNumberFormat="1" applyFont="1" applyFill="1" applyBorder="1">
      <alignment/>
      <protection/>
    </xf>
    <xf numFmtId="168" fontId="4" fillId="35" borderId="0" xfId="120" applyNumberFormat="1" applyFont="1" applyFill="1" applyBorder="1">
      <alignment/>
      <protection/>
    </xf>
    <xf numFmtId="168" fontId="26" fillId="35" borderId="18" xfId="120" applyNumberFormat="1" applyFont="1" applyFill="1" applyBorder="1">
      <alignment/>
      <protection/>
    </xf>
    <xf numFmtId="168" fontId="26" fillId="35" borderId="0" xfId="108" applyNumberFormat="1" applyFont="1" applyFill="1" applyBorder="1">
      <alignment/>
      <protection/>
    </xf>
    <xf numFmtId="168" fontId="4" fillId="35" borderId="0" xfId="108" applyNumberFormat="1" applyFont="1" applyFill="1" applyBorder="1">
      <alignment/>
      <protection/>
    </xf>
    <xf numFmtId="168" fontId="26" fillId="36" borderId="0" xfId="109" applyNumberFormat="1" applyFont="1" applyFill="1" applyBorder="1">
      <alignment/>
      <protection/>
    </xf>
    <xf numFmtId="168" fontId="4" fillId="36" borderId="0" xfId="109" applyNumberFormat="1" applyFont="1" applyFill="1" applyBorder="1">
      <alignment/>
      <protection/>
    </xf>
    <xf numFmtId="168" fontId="4" fillId="36" borderId="0" xfId="109" applyNumberFormat="1" applyFont="1" applyFill="1" applyBorder="1" applyAlignment="1">
      <alignment horizontal="right"/>
      <protection/>
    </xf>
    <xf numFmtId="172" fontId="4" fillId="35" borderId="0" xfId="50" applyNumberFormat="1" applyFont="1" applyFill="1" applyBorder="1" applyAlignment="1">
      <alignment horizontal="right"/>
    </xf>
    <xf numFmtId="172" fontId="4" fillId="36" borderId="0" xfId="50" applyNumberFormat="1" applyFont="1" applyFill="1" applyBorder="1" applyAlignment="1">
      <alignment horizontal="right"/>
    </xf>
    <xf numFmtId="168" fontId="26" fillId="35" borderId="0" xfId="110" applyNumberFormat="1" applyFont="1" applyFill="1" applyBorder="1">
      <alignment/>
      <protection/>
    </xf>
    <xf numFmtId="165" fontId="26" fillId="35" borderId="0" xfId="110" applyNumberFormat="1" applyFont="1" applyFill="1" applyBorder="1">
      <alignment/>
      <protection/>
    </xf>
    <xf numFmtId="168" fontId="4" fillId="35" borderId="0" xfId="110" applyNumberFormat="1" applyFont="1" applyFill="1" applyBorder="1">
      <alignment/>
      <protection/>
    </xf>
    <xf numFmtId="165" fontId="4" fillId="35" borderId="0" xfId="110" applyNumberFormat="1" applyFont="1" applyFill="1" applyBorder="1">
      <alignment/>
      <protection/>
    </xf>
    <xf numFmtId="168" fontId="26" fillId="35" borderId="0" xfId="111" applyNumberFormat="1" applyFont="1" applyFill="1" applyBorder="1">
      <alignment/>
      <protection/>
    </xf>
    <xf numFmtId="165" fontId="26" fillId="35" borderId="0" xfId="111" applyNumberFormat="1" applyFont="1" applyFill="1" applyBorder="1">
      <alignment/>
      <protection/>
    </xf>
    <xf numFmtId="168" fontId="4" fillId="35" borderId="0" xfId="111" applyNumberFormat="1" applyFont="1" applyFill="1" applyBorder="1">
      <alignment/>
      <protection/>
    </xf>
    <xf numFmtId="165" fontId="4" fillId="35" borderId="0" xfId="111" applyNumberFormat="1" applyFont="1" applyFill="1" applyBorder="1">
      <alignment/>
      <protection/>
    </xf>
    <xf numFmtId="168" fontId="26" fillId="35" borderId="18" xfId="111" applyNumberFormat="1" applyFont="1" applyFill="1" applyBorder="1">
      <alignment/>
      <protection/>
    </xf>
    <xf numFmtId="0" fontId="101" fillId="0" borderId="0" xfId="0" applyFont="1" applyAlignment="1">
      <alignment/>
    </xf>
    <xf numFmtId="172" fontId="4" fillId="38" borderId="0" xfId="50" applyNumberFormat="1" applyFont="1" applyFill="1" applyBorder="1" applyAlignment="1">
      <alignment horizontal="right"/>
    </xf>
    <xf numFmtId="168" fontId="4" fillId="38" borderId="0" xfId="109" applyNumberFormat="1" applyFont="1" applyFill="1" applyBorder="1">
      <alignment/>
      <protection/>
    </xf>
    <xf numFmtId="168" fontId="4" fillId="38" borderId="18" xfId="109" applyNumberFormat="1" applyFont="1" applyFill="1" applyBorder="1">
      <alignment/>
      <protection/>
    </xf>
    <xf numFmtId="168" fontId="53" fillId="35" borderId="18" xfId="111" applyNumberFormat="1" applyFont="1" applyFill="1" applyBorder="1">
      <alignment/>
      <protection/>
    </xf>
    <xf numFmtId="168" fontId="54" fillId="35" borderId="18" xfId="111" applyNumberFormat="1" applyFont="1" applyFill="1" applyBorder="1">
      <alignment/>
      <protection/>
    </xf>
    <xf numFmtId="165" fontId="54" fillId="35" borderId="18" xfId="111" applyNumberFormat="1" applyFont="1" applyFill="1" applyBorder="1">
      <alignment/>
      <protection/>
    </xf>
    <xf numFmtId="17" fontId="13" fillId="33" borderId="35" xfId="0" applyNumberFormat="1" applyFont="1" applyFill="1" applyBorder="1" applyAlignment="1">
      <alignment/>
    </xf>
    <xf numFmtId="0" fontId="4" fillId="35" borderId="21" xfId="114" applyFont="1" applyFill="1" applyBorder="1">
      <alignment/>
      <protection/>
    </xf>
    <xf numFmtId="168" fontId="26" fillId="35" borderId="21" xfId="114" applyNumberFormat="1" applyFont="1" applyFill="1" applyBorder="1">
      <alignment/>
      <protection/>
    </xf>
    <xf numFmtId="168" fontId="4" fillId="35" borderId="21" xfId="114" applyNumberFormat="1" applyFont="1" applyFill="1" applyBorder="1">
      <alignment/>
      <protection/>
    </xf>
    <xf numFmtId="168" fontId="26" fillId="35" borderId="22" xfId="114" applyNumberFormat="1" applyFont="1" applyFill="1" applyBorder="1">
      <alignment/>
      <protection/>
    </xf>
    <xf numFmtId="168" fontId="26" fillId="35" borderId="21" xfId="108" applyNumberFormat="1" applyFont="1" applyFill="1" applyBorder="1">
      <alignment/>
      <protection/>
    </xf>
    <xf numFmtId="168" fontId="4" fillId="35" borderId="21" xfId="108" applyNumberFormat="1" applyFont="1" applyFill="1" applyBorder="1">
      <alignment/>
      <protection/>
    </xf>
    <xf numFmtId="168" fontId="4" fillId="35" borderId="18" xfId="108" applyNumberFormat="1" applyFont="1" applyFill="1" applyBorder="1">
      <alignment/>
      <protection/>
    </xf>
    <xf numFmtId="168" fontId="26" fillId="36" borderId="21" xfId="109" applyNumberFormat="1" applyFont="1" applyFill="1" applyBorder="1">
      <alignment/>
      <protection/>
    </xf>
    <xf numFmtId="168" fontId="4" fillId="38" borderId="21" xfId="109" applyNumberFormat="1" applyFont="1" applyFill="1" applyBorder="1">
      <alignment/>
      <protection/>
    </xf>
    <xf numFmtId="168" fontId="4" fillId="36" borderId="21" xfId="109" applyNumberFormat="1" applyFont="1" applyFill="1" applyBorder="1">
      <alignment/>
      <protection/>
    </xf>
    <xf numFmtId="168" fontId="4" fillId="38" borderId="22" xfId="109" applyNumberFormat="1" applyFont="1" applyFill="1" applyBorder="1">
      <alignment/>
      <protection/>
    </xf>
    <xf numFmtId="165" fontId="26" fillId="35" borderId="21" xfId="119" applyNumberFormat="1" applyFont="1" applyFill="1" applyBorder="1">
      <alignment/>
      <protection/>
    </xf>
    <xf numFmtId="165" fontId="4" fillId="35" borderId="21" xfId="119" applyNumberFormat="1" applyFont="1" applyFill="1" applyBorder="1">
      <alignment/>
      <protection/>
    </xf>
    <xf numFmtId="168" fontId="26" fillId="35" borderId="18" xfId="119" applyNumberFormat="1" applyFont="1" applyFill="1" applyBorder="1">
      <alignment/>
      <protection/>
    </xf>
    <xf numFmtId="165" fontId="26" fillId="35" borderId="18" xfId="119" applyNumberFormat="1" applyFont="1" applyFill="1" applyBorder="1">
      <alignment/>
      <protection/>
    </xf>
    <xf numFmtId="165" fontId="26" fillId="35" borderId="22" xfId="119" applyNumberFormat="1" applyFont="1" applyFill="1" applyBorder="1">
      <alignment/>
      <protection/>
    </xf>
    <xf numFmtId="165" fontId="26" fillId="35" borderId="21" xfId="110" applyNumberFormat="1" applyFont="1" applyFill="1" applyBorder="1">
      <alignment/>
      <protection/>
    </xf>
    <xf numFmtId="165" fontId="4" fillId="35" borderId="21" xfId="110" applyNumberFormat="1" applyFont="1" applyFill="1" applyBorder="1">
      <alignment/>
      <protection/>
    </xf>
    <xf numFmtId="168" fontId="4" fillId="35" borderId="21" xfId="120" applyNumberFormat="1" applyFont="1" applyFill="1" applyBorder="1">
      <alignment/>
      <protection/>
    </xf>
    <xf numFmtId="168" fontId="26" fillId="35" borderId="22" xfId="120" applyNumberFormat="1" applyFont="1" applyFill="1" applyBorder="1">
      <alignment/>
      <protection/>
    </xf>
    <xf numFmtId="165" fontId="26" fillId="35" borderId="21" xfId="111" applyNumberFormat="1" applyFont="1" applyFill="1" applyBorder="1">
      <alignment/>
      <protection/>
    </xf>
    <xf numFmtId="165" fontId="4" fillId="35" borderId="21" xfId="111" applyNumberFormat="1" applyFont="1" applyFill="1" applyBorder="1">
      <alignment/>
      <protection/>
    </xf>
    <xf numFmtId="165" fontId="54" fillId="35" borderId="22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68" fontId="4" fillId="39" borderId="0" xfId="109" applyNumberFormat="1" applyFont="1" applyFill="1" applyBorder="1">
      <alignment/>
      <protection/>
    </xf>
    <xf numFmtId="168" fontId="4" fillId="39" borderId="21" xfId="109" applyNumberFormat="1" applyFont="1" applyFill="1" applyBorder="1">
      <alignment/>
      <protection/>
    </xf>
    <xf numFmtId="165" fontId="102" fillId="35" borderId="15" xfId="0" applyNumberFormat="1" applyFont="1" applyFill="1" applyBorder="1" applyAlignment="1">
      <alignment/>
    </xf>
    <xf numFmtId="165" fontId="102" fillId="35" borderId="15" xfId="0" applyNumberFormat="1" applyFont="1" applyFill="1" applyBorder="1" applyAlignment="1">
      <alignment horizontal="right"/>
    </xf>
    <xf numFmtId="0" fontId="102" fillId="35" borderId="15" xfId="0" applyFont="1" applyFill="1" applyBorder="1" applyAlignment="1">
      <alignment/>
    </xf>
    <xf numFmtId="166" fontId="102" fillId="35" borderId="15" xfId="0" applyNumberFormat="1" applyFont="1" applyFill="1" applyBorder="1" applyAlignment="1">
      <alignment/>
    </xf>
    <xf numFmtId="166" fontId="102" fillId="35" borderId="15" xfId="0" applyNumberFormat="1" applyFont="1" applyFill="1" applyBorder="1" applyAlignment="1">
      <alignment horizontal="right"/>
    </xf>
    <xf numFmtId="0" fontId="103" fillId="0" borderId="0" xfId="0" applyFont="1" applyAlignment="1">
      <alignment/>
    </xf>
    <xf numFmtId="169" fontId="102" fillId="35" borderId="15" xfId="42" applyNumberFormat="1" applyFont="1" applyFill="1" applyBorder="1" applyAlignment="1">
      <alignment horizontal="right"/>
    </xf>
    <xf numFmtId="168" fontId="102" fillId="35" borderId="15" xfId="42" applyNumberFormat="1" applyFont="1" applyFill="1" applyBorder="1" applyAlignment="1">
      <alignment horizontal="right"/>
    </xf>
    <xf numFmtId="0" fontId="5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102" fillId="40" borderId="15" xfId="0" applyFont="1" applyFill="1" applyBorder="1" applyAlignment="1">
      <alignment/>
    </xf>
    <xf numFmtId="43" fontId="102" fillId="35" borderId="15" xfId="42" applyNumberFormat="1" applyFont="1" applyFill="1" applyBorder="1" applyAlignment="1">
      <alignment horizontal="right"/>
    </xf>
    <xf numFmtId="43" fontId="102" fillId="35" borderId="15" xfId="0" applyNumberFormat="1" applyFont="1" applyFill="1" applyBorder="1" applyAlignment="1">
      <alignment/>
    </xf>
    <xf numFmtId="173" fontId="102" fillId="35" borderId="15" xfId="0" applyNumberFormat="1" applyFont="1" applyFill="1" applyBorder="1" applyAlignment="1">
      <alignment/>
    </xf>
    <xf numFmtId="165" fontId="4" fillId="35" borderId="21" xfId="114" applyNumberFormat="1" applyFont="1" applyFill="1" applyBorder="1">
      <alignment/>
      <protection/>
    </xf>
    <xf numFmtId="168" fontId="4" fillId="35" borderId="22" xfId="108" applyNumberFormat="1" applyFont="1" applyFill="1" applyBorder="1">
      <alignment/>
      <protection/>
    </xf>
    <xf numFmtId="2" fontId="102" fillId="35" borderId="15" xfId="42" applyNumberFormat="1" applyFont="1" applyFill="1" applyBorder="1" applyAlignment="1">
      <alignment horizontal="right"/>
    </xf>
    <xf numFmtId="173" fontId="102" fillId="35" borderId="15" xfId="42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43" fontId="102" fillId="35" borderId="15" xfId="42" applyFont="1" applyFill="1" applyBorder="1" applyAlignment="1">
      <alignment horizontal="right"/>
    </xf>
    <xf numFmtId="168" fontId="4" fillId="38" borderId="18" xfId="109" applyNumberFormat="1" applyFont="1" applyFill="1" applyBorder="1" applyAlignment="1">
      <alignment horizontal="right"/>
      <protection/>
    </xf>
    <xf numFmtId="4" fontId="102" fillId="35" borderId="15" xfId="42" applyNumberFormat="1" applyFont="1" applyFill="1" applyBorder="1" applyAlignment="1">
      <alignment horizontal="right"/>
    </xf>
    <xf numFmtId="43" fontId="9" fillId="35" borderId="15" xfId="42" applyNumberFormat="1" applyFont="1" applyFill="1" applyBorder="1" applyAlignment="1">
      <alignment/>
    </xf>
    <xf numFmtId="43" fontId="15" fillId="0" borderId="0" xfId="0" applyNumberFormat="1" applyFont="1" applyAlignment="1">
      <alignment/>
    </xf>
    <xf numFmtId="0" fontId="40" fillId="33" borderId="15" xfId="0" applyFont="1" applyFill="1" applyBorder="1" applyAlignment="1">
      <alignment horizontal="left" indent="10"/>
    </xf>
    <xf numFmtId="2" fontId="10" fillId="35" borderId="15" xfId="42" applyNumberFormat="1" applyFont="1" applyFill="1" applyBorder="1" applyAlignment="1">
      <alignment horizontal="right"/>
    </xf>
    <xf numFmtId="2" fontId="10" fillId="35" borderId="15" xfId="0" applyNumberFormat="1" applyFont="1" applyFill="1" applyBorder="1" applyAlignment="1">
      <alignment/>
    </xf>
    <xf numFmtId="43" fontId="10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2" fontId="11" fillId="0" borderId="0" xfId="0" applyNumberFormat="1" applyFont="1" applyAlignment="1">
      <alignment/>
    </xf>
    <xf numFmtId="175" fontId="0" fillId="0" borderId="0" xfId="124" applyNumberFormat="1" applyFont="1" applyAlignment="1">
      <alignment/>
    </xf>
    <xf numFmtId="0" fontId="59" fillId="0" borderId="0" xfId="0" applyFont="1" applyAlignment="1">
      <alignment/>
    </xf>
    <xf numFmtId="165" fontId="26" fillId="0" borderId="0" xfId="110" applyNumberFormat="1" applyFont="1" applyFill="1" applyBorder="1">
      <alignment/>
      <protection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20" fillId="33" borderId="27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6" fontId="13" fillId="33" borderId="34" xfId="0" applyNumberFormat="1" applyFont="1" applyFill="1" applyBorder="1" applyAlignment="1">
      <alignment horizontal="center"/>
    </xf>
    <xf numFmtId="0" fontId="20" fillId="33" borderId="39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40" xfId="0" applyFont="1" applyFill="1" applyBorder="1" applyAlignment="1">
      <alignment horizontal="center"/>
    </xf>
    <xf numFmtId="46" fontId="13" fillId="33" borderId="41" xfId="0" applyNumberFormat="1" applyFont="1" applyFill="1" applyBorder="1" applyAlignment="1">
      <alignment horizontal="center"/>
    </xf>
    <xf numFmtId="46" fontId="13" fillId="33" borderId="37" xfId="0" applyNumberFormat="1" applyFont="1" applyFill="1" applyBorder="1" applyAlignment="1">
      <alignment horizontal="center"/>
    </xf>
    <xf numFmtId="46" fontId="13" fillId="33" borderId="38" xfId="0" applyNumberFormat="1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8" fillId="34" borderId="0" xfId="0" applyNumberFormat="1" applyFont="1" applyFill="1" applyAlignment="1">
      <alignment horizontal="left"/>
    </xf>
    <xf numFmtId="0" fontId="4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0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-0.022"/>
          <c:w val="0.94675"/>
          <c:h val="0.988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'S6'!$BS$4:$CE$4</c:f>
              <c:strCache>
                <c:ptCount val="13"/>
                <c:pt idx="0">
                  <c:v>39752</c:v>
                </c:pt>
                <c:pt idx="1">
                  <c:v>39782</c:v>
                </c:pt>
                <c:pt idx="2">
                  <c:v>39813</c:v>
                </c:pt>
                <c:pt idx="3">
                  <c:v>39844</c:v>
                </c:pt>
                <c:pt idx="4">
                  <c:v>39872</c:v>
                </c:pt>
                <c:pt idx="5">
                  <c:v>39903</c:v>
                </c:pt>
                <c:pt idx="6">
                  <c:v>39933</c:v>
                </c:pt>
                <c:pt idx="7">
                  <c:v>39964</c:v>
                </c:pt>
                <c:pt idx="8">
                  <c:v>39994</c:v>
                </c:pt>
                <c:pt idx="9">
                  <c:v>40025</c:v>
                </c:pt>
                <c:pt idx="10">
                  <c:v>40056</c:v>
                </c:pt>
                <c:pt idx="11">
                  <c:v>40086</c:v>
                </c:pt>
                <c:pt idx="12">
                  <c:v>40117</c:v>
                </c:pt>
              </c:strCache>
            </c:strRef>
          </c:cat>
          <c:val>
            <c:numRef>
              <c:f>'S6'!$BS$13:$CE$13</c:f>
              <c:numCache>
                <c:ptCount val="13"/>
                <c:pt idx="0">
                  <c:v>0.10339657757328233</c:v>
                </c:pt>
                <c:pt idx="1">
                  <c:v>0.09883669213358769</c:v>
                </c:pt>
                <c:pt idx="2">
                  <c:v>0.10054697554697554</c:v>
                </c:pt>
                <c:pt idx="3">
                  <c:v>0.1010407194099222</c:v>
                </c:pt>
                <c:pt idx="4">
                  <c:v>0.09994003597841294</c:v>
                </c:pt>
                <c:pt idx="5">
                  <c:v>0.1000680462714646</c:v>
                </c:pt>
                <c:pt idx="6">
                  <c:v>0.11088933244621867</c:v>
                </c:pt>
                <c:pt idx="7">
                  <c:v>0.11944149158534693</c:v>
                </c:pt>
                <c:pt idx="8">
                  <c:v>0.12419583198787848</c:v>
                </c:pt>
                <c:pt idx="9">
                  <c:v>0.12576559807830168</c:v>
                </c:pt>
                <c:pt idx="10">
                  <c:v>0.12592079581942958</c:v>
                </c:pt>
                <c:pt idx="11">
                  <c:v>0.1329168605037549</c:v>
                </c:pt>
                <c:pt idx="12">
                  <c:v>0.1329168605037549</c:v>
                </c:pt>
              </c:numCache>
            </c:numRef>
          </c:val>
          <c:smooth val="1"/>
        </c:ser>
        <c:marker val="1"/>
        <c:axId val="27788589"/>
        <c:axId val="48770710"/>
      </c:lineChart>
      <c:dateAx>
        <c:axId val="277885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48770710"/>
        <c:crossesAt val="0.08900000000000005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8770710"/>
        <c:scaling>
          <c:orientation val="minMax"/>
          <c:max val="0.15000000000000008"/>
          <c:min val="0.09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88589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24025" cy="1581150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18</xdr:col>
      <xdr:colOff>552450</xdr:colOff>
      <xdr:row>26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33425"/>
          <a:ext cx="11077575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18</xdr:col>
      <xdr:colOff>476250</xdr:colOff>
      <xdr:row>70</xdr:row>
      <xdr:rowOff>104775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8763000"/>
          <a:ext cx="11001375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15</xdr:col>
      <xdr:colOff>457200</xdr:colOff>
      <xdr:row>28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66725"/>
          <a:ext cx="899160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50</xdr:row>
      <xdr:rowOff>0</xdr:rowOff>
    </xdr:from>
    <xdr:to>
      <xdr:col>15</xdr:col>
      <xdr:colOff>514350</xdr:colOff>
      <xdr:row>76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648575"/>
          <a:ext cx="904875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51</xdr:row>
      <xdr:rowOff>57150</xdr:rowOff>
    </xdr:from>
    <xdr:to>
      <xdr:col>13</xdr:col>
      <xdr:colOff>66675</xdr:colOff>
      <xdr:row>70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829800"/>
          <a:ext cx="733425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</xdr:row>
      <xdr:rowOff>114300</xdr:rowOff>
    </xdr:from>
    <xdr:to>
      <xdr:col>13</xdr:col>
      <xdr:colOff>66675</xdr:colOff>
      <xdr:row>40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038725"/>
          <a:ext cx="74866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19050</xdr:rowOff>
    </xdr:from>
    <xdr:to>
      <xdr:col>13</xdr:col>
      <xdr:colOff>95250</xdr:colOff>
      <xdr:row>20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885825"/>
          <a:ext cx="741045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45</xdr:row>
      <xdr:rowOff>123825</xdr:rowOff>
    </xdr:from>
    <xdr:to>
      <xdr:col>13</xdr:col>
      <xdr:colOff>19050</xdr:colOff>
      <xdr:row>63</xdr:row>
      <xdr:rowOff>152400</xdr:rowOff>
    </xdr:to>
    <xdr:graphicFrame>
      <xdr:nvGraphicFramePr>
        <xdr:cNvPr id="1" name="Chart 9"/>
        <xdr:cNvGraphicFramePr/>
      </xdr:nvGraphicFramePr>
      <xdr:xfrm>
        <a:off x="238125" y="7600950"/>
        <a:ext cx="767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13</xdr:col>
      <xdr:colOff>9525</xdr:colOff>
      <xdr:row>24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66800"/>
          <a:ext cx="72961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0">
      <selection activeCell="A20" sqref="A20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101</v>
      </c>
    </row>
    <row r="2" ht="37.5">
      <c r="A2" s="24"/>
    </row>
    <row r="3" ht="37.5">
      <c r="A3" s="24"/>
    </row>
    <row r="4" ht="33">
      <c r="A4" s="25"/>
    </row>
    <row r="5" ht="37.5">
      <c r="A5" s="24"/>
    </row>
    <row r="6" ht="33">
      <c r="A6" s="25"/>
    </row>
    <row r="7" ht="37.5">
      <c r="A7" s="26"/>
    </row>
    <row r="8" ht="37.5">
      <c r="A8" s="26"/>
    </row>
    <row r="9" ht="33">
      <c r="A9" s="99"/>
    </row>
    <row r="11" ht="40.5">
      <c r="A11" s="27"/>
    </row>
    <row r="12" ht="40.5">
      <c r="A12" s="27"/>
    </row>
    <row r="13" ht="40.5">
      <c r="A13" s="27" t="s">
        <v>45</v>
      </c>
    </row>
    <row r="14" ht="40.5">
      <c r="A14" s="27"/>
    </row>
    <row r="15" ht="40.5">
      <c r="A15" s="27" t="s">
        <v>46</v>
      </c>
    </row>
    <row r="16" ht="40.5">
      <c r="A16" s="27"/>
    </row>
    <row r="17" ht="40.5">
      <c r="A17" s="27" t="s">
        <v>47</v>
      </c>
    </row>
    <row r="18" ht="40.5">
      <c r="A18" s="27"/>
    </row>
    <row r="19" ht="40.5">
      <c r="A19" s="29">
        <v>40114</v>
      </c>
    </row>
    <row r="20" ht="40.5">
      <c r="A20" s="2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62"/>
  <sheetViews>
    <sheetView tabSelected="1" zoomScalePageLayoutView="0" workbookViewId="0" topLeftCell="A1">
      <selection activeCell="I43" sqref="I43"/>
    </sheetView>
  </sheetViews>
  <sheetFormatPr defaultColWidth="9.140625" defaultRowHeight="12"/>
  <cols>
    <col min="2" max="2" width="50.8515625" style="0" customWidth="1"/>
    <col min="3" max="3" width="9.7109375" style="0" customWidth="1"/>
    <col min="4" max="4" width="10.140625" style="0" customWidth="1"/>
    <col min="5" max="5" width="12.00390625" style="0" customWidth="1"/>
    <col min="6" max="6" width="9.8515625" style="0" customWidth="1"/>
    <col min="7" max="10" width="9.28125" style="0" customWidth="1"/>
    <col min="11" max="11" width="9.140625" style="0" customWidth="1"/>
    <col min="12" max="12" width="9.7109375" style="0" bestFit="1" customWidth="1"/>
  </cols>
  <sheetData>
    <row r="1" ht="12" thickBot="1"/>
    <row r="2" spans="2:11" ht="11.25">
      <c r="B2" s="298" t="s">
        <v>76</v>
      </c>
      <c r="C2" s="299"/>
      <c r="D2" s="299"/>
      <c r="E2" s="299"/>
      <c r="F2" s="299"/>
      <c r="G2" s="299"/>
      <c r="H2" s="299"/>
      <c r="I2" s="299"/>
      <c r="J2" s="299"/>
      <c r="K2" s="300"/>
    </row>
    <row r="3" spans="2:11" ht="11.25">
      <c r="B3" s="304" t="s">
        <v>119</v>
      </c>
      <c r="C3" s="305"/>
      <c r="D3" s="305"/>
      <c r="E3" s="305"/>
      <c r="F3" s="305"/>
      <c r="G3" s="305"/>
      <c r="H3" s="305"/>
      <c r="I3" s="305"/>
      <c r="J3" s="305"/>
      <c r="K3" s="306"/>
    </row>
    <row r="4" spans="2:11" ht="11.25">
      <c r="B4" s="108"/>
      <c r="C4" s="22"/>
      <c r="D4" s="22"/>
      <c r="E4" s="22"/>
      <c r="F4" s="294" t="s">
        <v>110</v>
      </c>
      <c r="G4" s="301"/>
      <c r="H4" s="174" t="s">
        <v>131</v>
      </c>
      <c r="I4" s="294" t="s">
        <v>132</v>
      </c>
      <c r="J4" s="302"/>
      <c r="K4" s="303"/>
    </row>
    <row r="5" spans="2:11" ht="11.25">
      <c r="B5" s="109"/>
      <c r="C5" s="12">
        <v>39722</v>
      </c>
      <c r="D5" s="12">
        <v>40082</v>
      </c>
      <c r="E5" s="12">
        <v>40112</v>
      </c>
      <c r="F5" s="12" t="s">
        <v>163</v>
      </c>
      <c r="G5" s="97" t="s">
        <v>164</v>
      </c>
      <c r="H5" s="97" t="s">
        <v>163</v>
      </c>
      <c r="I5" s="12">
        <v>40026</v>
      </c>
      <c r="J5" s="12">
        <v>40057</v>
      </c>
      <c r="K5" s="12">
        <v>40087</v>
      </c>
    </row>
    <row r="6" spans="2:11" ht="11.25">
      <c r="B6" s="110"/>
      <c r="C6" s="185"/>
      <c r="D6" s="185"/>
      <c r="E6" s="185"/>
      <c r="F6" s="186"/>
      <c r="G6" s="186"/>
      <c r="H6" s="186"/>
      <c r="I6" s="182"/>
      <c r="J6" s="182"/>
      <c r="K6" s="221"/>
    </row>
    <row r="7" spans="2:14" ht="11.25">
      <c r="B7" s="111" t="s">
        <v>1</v>
      </c>
      <c r="C7" s="180">
        <v>16517.990429532914</v>
      </c>
      <c r="D7" s="180">
        <v>14660.17428462447</v>
      </c>
      <c r="E7" s="180">
        <v>17965.84852024358</v>
      </c>
      <c r="F7" s="180">
        <v>3305.67423561911</v>
      </c>
      <c r="G7" s="180">
        <v>1447.8580907106661</v>
      </c>
      <c r="H7" s="180">
        <v>22.548669418521765</v>
      </c>
      <c r="I7" s="180">
        <v>36.466265115613794</v>
      </c>
      <c r="J7" s="180">
        <v>16.5479249283883</v>
      </c>
      <c r="K7" s="222">
        <v>8.76534041406154</v>
      </c>
      <c r="L7" s="54"/>
      <c r="N7" s="54"/>
    </row>
    <row r="8" spans="2:12" ht="11.25">
      <c r="B8" s="111" t="s">
        <v>73</v>
      </c>
      <c r="C8" s="180">
        <v>29701.147708164885</v>
      </c>
      <c r="D8" s="180">
        <v>31848.833498526335</v>
      </c>
      <c r="E8" s="180">
        <v>31609.25197272331</v>
      </c>
      <c r="F8" s="188">
        <v>-239.58152580302703</v>
      </c>
      <c r="G8" s="188">
        <v>1908.104264558424</v>
      </c>
      <c r="H8" s="180">
        <v>-0.7522458422664448</v>
      </c>
      <c r="I8" s="180">
        <v>2.194301502179341</v>
      </c>
      <c r="J8" s="180">
        <v>2.0508741205693015</v>
      </c>
      <c r="K8" s="222">
        <v>6.424345224995753</v>
      </c>
      <c r="L8" s="54"/>
    </row>
    <row r="9" spans="2:12" ht="11.25">
      <c r="B9" s="113" t="s">
        <v>142</v>
      </c>
      <c r="C9" s="181">
        <v>-5836.12692793512</v>
      </c>
      <c r="D9" s="181">
        <v>-7242.889667428665</v>
      </c>
      <c r="E9" s="181">
        <v>-7510.42272950669</v>
      </c>
      <c r="F9" s="184">
        <v>-267.53306207802507</v>
      </c>
      <c r="G9" s="184">
        <v>-1674.2958015715703</v>
      </c>
      <c r="H9" s="181">
        <v>3.693733777018908</v>
      </c>
      <c r="I9" s="181">
        <v>61.81708656417293</v>
      </c>
      <c r="J9" s="181">
        <v>69.10773013853175</v>
      </c>
      <c r="K9" s="223">
        <v>28.688474775238525</v>
      </c>
      <c r="L9" s="54"/>
    </row>
    <row r="10" spans="2:12" ht="11.25">
      <c r="B10" s="113" t="s">
        <v>139</v>
      </c>
      <c r="C10" s="181">
        <v>35537.2746361</v>
      </c>
      <c r="D10" s="181">
        <v>39091.723165955</v>
      </c>
      <c r="E10" s="181">
        <v>39119.67470223</v>
      </c>
      <c r="F10" s="184">
        <v>27.951536274995306</v>
      </c>
      <c r="G10" s="184">
        <v>3582.4000661299942</v>
      </c>
      <c r="H10" s="181">
        <v>0.07150244095491373</v>
      </c>
      <c r="I10" s="181">
        <v>10.061648795978995</v>
      </c>
      <c r="J10" s="181">
        <v>10.143021189121448</v>
      </c>
      <c r="K10" s="223">
        <v>10.080683177912775</v>
      </c>
      <c r="L10" s="54"/>
    </row>
    <row r="11" spans="2:12" ht="11.25">
      <c r="B11" s="114" t="s">
        <v>48</v>
      </c>
      <c r="C11" s="181">
        <v>2634.9635329599996</v>
      </c>
      <c r="D11" s="181">
        <v>3104.3530959600002</v>
      </c>
      <c r="E11" s="181">
        <v>2864.77439322</v>
      </c>
      <c r="F11" s="184">
        <v>-239.57870274000015</v>
      </c>
      <c r="G11" s="184">
        <v>229.81086026000048</v>
      </c>
      <c r="H11" s="181">
        <v>-7.717508135649501</v>
      </c>
      <c r="I11" s="181">
        <v>3.5627771024558275</v>
      </c>
      <c r="J11" s="181">
        <v>2.491679684680004</v>
      </c>
      <c r="K11" s="223">
        <v>8.721595475055445</v>
      </c>
      <c r="L11" s="54"/>
    </row>
    <row r="12" spans="2:12" ht="11.25">
      <c r="B12" s="114" t="s">
        <v>140</v>
      </c>
      <c r="C12" s="181">
        <v>89.68171382</v>
      </c>
      <c r="D12" s="181">
        <v>82.02467143000001</v>
      </c>
      <c r="E12" s="181">
        <v>93.66979751000001</v>
      </c>
      <c r="F12" s="184">
        <v>11.645126079999997</v>
      </c>
      <c r="G12" s="184">
        <v>3.9880836900000105</v>
      </c>
      <c r="H12" s="181">
        <v>14.197101770700742</v>
      </c>
      <c r="I12" s="181">
        <v>60.53834156350166</v>
      </c>
      <c r="J12" s="181">
        <v>21.994988705698137</v>
      </c>
      <c r="K12" s="266">
        <v>4.446930728826715</v>
      </c>
      <c r="L12" s="54"/>
    </row>
    <row r="13" spans="2:12" ht="11.25">
      <c r="B13" s="114" t="s">
        <v>143</v>
      </c>
      <c r="C13" s="181">
        <v>484.97809409</v>
      </c>
      <c r="D13" s="181">
        <v>559.8669139900001</v>
      </c>
      <c r="E13" s="181">
        <v>586.34514551</v>
      </c>
      <c r="F13" s="184">
        <v>26.478231519999895</v>
      </c>
      <c r="G13" s="184">
        <v>101.36705141999994</v>
      </c>
      <c r="H13" s="181">
        <v>4.7293795826043095</v>
      </c>
      <c r="I13" s="181">
        <v>55.87414203680729</v>
      </c>
      <c r="J13" s="181">
        <v>23.299283882099186</v>
      </c>
      <c r="K13" s="223">
        <v>20.90136702157701</v>
      </c>
      <c r="L13" s="54"/>
    </row>
    <row r="14" spans="2:12" ht="11.25">
      <c r="B14" s="114" t="s">
        <v>144</v>
      </c>
      <c r="C14" s="181">
        <v>10978.490238930002</v>
      </c>
      <c r="D14" s="181">
        <v>12465.92667734</v>
      </c>
      <c r="E14" s="181">
        <v>12675.70917272</v>
      </c>
      <c r="F14" s="184">
        <v>209.7824953800009</v>
      </c>
      <c r="G14" s="184">
        <v>1697.2189337899981</v>
      </c>
      <c r="H14" s="181">
        <v>1.6828471786324084</v>
      </c>
      <c r="I14" s="181">
        <v>13.474473699735888</v>
      </c>
      <c r="J14" s="181">
        <v>14.66552973358044</v>
      </c>
      <c r="K14" s="223">
        <v>15.459493034585181</v>
      </c>
      <c r="L14" s="54"/>
    </row>
    <row r="15" spans="2:14" ht="11.25">
      <c r="B15" s="114" t="s">
        <v>49</v>
      </c>
      <c r="C15" s="181">
        <v>21344.3080563</v>
      </c>
      <c r="D15" s="181">
        <v>22874.176807235006</v>
      </c>
      <c r="E15" s="181">
        <v>22893.80119327</v>
      </c>
      <c r="F15" s="184">
        <v>19.624386034993222</v>
      </c>
      <c r="G15" s="184">
        <v>1549.493136969999</v>
      </c>
      <c r="H15" s="181">
        <v>0.08579275311357264</v>
      </c>
      <c r="I15" s="181">
        <v>8.101678839531722</v>
      </c>
      <c r="J15" s="181">
        <v>8.587591021365949</v>
      </c>
      <c r="K15" s="223">
        <v>7.259514493901098</v>
      </c>
      <c r="L15" s="54"/>
      <c r="M15" s="51"/>
      <c r="N15" s="54"/>
    </row>
    <row r="16" spans="2:14" ht="11.25">
      <c r="B16" s="114" t="s">
        <v>138</v>
      </c>
      <c r="C16" s="181">
        <v>4.853</v>
      </c>
      <c r="D16" s="181">
        <v>5.375</v>
      </c>
      <c r="E16" s="181">
        <v>5.375</v>
      </c>
      <c r="F16" s="184">
        <v>0</v>
      </c>
      <c r="G16" s="184">
        <v>0.5220000000000002</v>
      </c>
      <c r="H16" s="181">
        <v>0</v>
      </c>
      <c r="I16" s="181">
        <v>0</v>
      </c>
      <c r="J16" s="181">
        <v>0</v>
      </c>
      <c r="K16" s="223">
        <v>0</v>
      </c>
      <c r="L16" s="54"/>
      <c r="M16" s="51"/>
      <c r="N16" s="54"/>
    </row>
    <row r="17" spans="2:12" ht="11.25">
      <c r="B17" s="111" t="s">
        <v>43</v>
      </c>
      <c r="C17" s="180">
        <v>-17043.2059092285</v>
      </c>
      <c r="D17" s="180">
        <v>-17146.090362758703</v>
      </c>
      <c r="E17" s="180">
        <v>-18983.050929348945</v>
      </c>
      <c r="F17" s="188">
        <v>-1836.9605665902418</v>
      </c>
      <c r="G17" s="188">
        <v>-1939.8450201204432</v>
      </c>
      <c r="H17" s="180">
        <v>10.713582675267586</v>
      </c>
      <c r="I17" s="180">
        <v>22.54113617608491</v>
      </c>
      <c r="J17" s="180">
        <v>15.86608177787907</v>
      </c>
      <c r="K17" s="222">
        <v>11.38192562157605</v>
      </c>
      <c r="L17" s="54"/>
    </row>
    <row r="18" spans="2:12" ht="12" thickBot="1">
      <c r="B18" s="115" t="s">
        <v>50</v>
      </c>
      <c r="C18" s="183">
        <v>29175.932228469293</v>
      </c>
      <c r="D18" s="183">
        <v>29362.917420392107</v>
      </c>
      <c r="E18" s="183">
        <v>30592.04956361794</v>
      </c>
      <c r="F18" s="187">
        <v>1229.1321432258337</v>
      </c>
      <c r="G18" s="187">
        <v>1416.1173351486468</v>
      </c>
      <c r="H18" s="183">
        <v>4.186001430403573</v>
      </c>
      <c r="I18" s="183">
        <v>6.338506923573117</v>
      </c>
      <c r="J18" s="183">
        <v>1.2888819757131298</v>
      </c>
      <c r="K18" s="224">
        <v>4.853790539212244</v>
      </c>
      <c r="L18" s="54"/>
    </row>
    <row r="19" spans="2:13" ht="11.25">
      <c r="B19" s="175"/>
      <c r="C19" s="34"/>
      <c r="D19" s="34"/>
      <c r="E19" s="34"/>
      <c r="F19" s="34"/>
      <c r="G19" s="34"/>
      <c r="H19" s="34"/>
      <c r="I19" s="34"/>
      <c r="J19" s="34"/>
      <c r="K19" s="34"/>
      <c r="M19" s="51"/>
    </row>
    <row r="20" spans="2:13" ht="11.25">
      <c r="B20" s="142"/>
      <c r="C20" s="34"/>
      <c r="D20" s="34"/>
      <c r="E20" s="34"/>
      <c r="F20" s="34"/>
      <c r="G20" s="34"/>
      <c r="H20" s="34"/>
      <c r="I20" s="34"/>
      <c r="J20" s="34"/>
      <c r="K20" s="34"/>
      <c r="M20" s="51"/>
    </row>
    <row r="21" spans="2:13" ht="12" thickBot="1">
      <c r="B21" s="142"/>
      <c r="C21" s="34"/>
      <c r="D21" s="34"/>
      <c r="E21" s="34"/>
      <c r="F21" s="34"/>
      <c r="G21" s="34"/>
      <c r="H21" s="34"/>
      <c r="I21" s="34"/>
      <c r="J21" s="34"/>
      <c r="K21" s="34"/>
      <c r="M21" s="51"/>
    </row>
    <row r="22" spans="2:11" ht="11.25">
      <c r="B22" s="298" t="s">
        <v>135</v>
      </c>
      <c r="C22" s="299"/>
      <c r="D22" s="299"/>
      <c r="E22" s="299"/>
      <c r="F22" s="299"/>
      <c r="G22" s="299"/>
      <c r="H22" s="299"/>
      <c r="I22" s="299"/>
      <c r="J22" s="299"/>
      <c r="K22" s="300"/>
    </row>
    <row r="23" spans="2:11" ht="11.25">
      <c r="B23" s="287" t="s">
        <v>118</v>
      </c>
      <c r="C23" s="288"/>
      <c r="D23" s="288"/>
      <c r="E23" s="288"/>
      <c r="F23" s="288"/>
      <c r="G23" s="288"/>
      <c r="H23" s="288"/>
      <c r="I23" s="289"/>
      <c r="J23" s="289"/>
      <c r="K23" s="290"/>
    </row>
    <row r="24" spans="2:11" ht="11.25">
      <c r="B24" s="108"/>
      <c r="C24" s="22"/>
      <c r="D24" s="22"/>
      <c r="E24" s="22"/>
      <c r="F24" s="291" t="s">
        <v>110</v>
      </c>
      <c r="G24" s="297"/>
      <c r="H24" s="174" t="s">
        <v>130</v>
      </c>
      <c r="I24" s="291" t="s">
        <v>132</v>
      </c>
      <c r="J24" s="292"/>
      <c r="K24" s="293"/>
    </row>
    <row r="25" spans="2:11" ht="11.25">
      <c r="B25" s="109"/>
      <c r="C25" s="12">
        <f>C5</f>
        <v>39722</v>
      </c>
      <c r="D25" s="12">
        <f>D5</f>
        <v>40082</v>
      </c>
      <c r="E25" s="12">
        <f>E5</f>
        <v>40112</v>
      </c>
      <c r="F25" s="12" t="s">
        <v>113</v>
      </c>
      <c r="G25" s="97" t="s">
        <v>112</v>
      </c>
      <c r="H25" s="97" t="s">
        <v>133</v>
      </c>
      <c r="I25" s="12">
        <f>I5</f>
        <v>40026</v>
      </c>
      <c r="J25" s="12">
        <f>J5</f>
        <v>40057</v>
      </c>
      <c r="K25" s="220">
        <f>K5</f>
        <v>40087</v>
      </c>
    </row>
    <row r="26" spans="2:11" ht="11.25">
      <c r="B26" s="117"/>
      <c r="C26" s="35"/>
      <c r="D26" s="35"/>
      <c r="E26" s="35"/>
      <c r="F26" s="35"/>
      <c r="G26" s="35"/>
      <c r="H26" s="35"/>
      <c r="I26" s="35"/>
      <c r="J26" s="35"/>
      <c r="K26" s="118"/>
    </row>
    <row r="27" spans="2:11" ht="11.25">
      <c r="B27" s="111" t="s">
        <v>50</v>
      </c>
      <c r="C27" s="197">
        <v>29175.939920890236</v>
      </c>
      <c r="D27" s="197">
        <v>29362.891293546865</v>
      </c>
      <c r="E27" s="197">
        <v>30592.078932496657</v>
      </c>
      <c r="F27" s="197">
        <v>1229.187638949792</v>
      </c>
      <c r="G27" s="197">
        <v>1416.1390116064213</v>
      </c>
      <c r="H27" s="197">
        <v>4.186194154592442</v>
      </c>
      <c r="I27" s="197">
        <v>6.338506923573117</v>
      </c>
      <c r="J27" s="197">
        <v>1.2888819757131298</v>
      </c>
      <c r="K27" s="225">
        <v>4.853790539212244</v>
      </c>
    </row>
    <row r="28" spans="2:12" ht="11.25">
      <c r="B28" s="113" t="s">
        <v>51</v>
      </c>
      <c r="C28" s="198">
        <v>1234.2519171000001</v>
      </c>
      <c r="D28" s="198">
        <v>1084.8661080494942</v>
      </c>
      <c r="E28" s="198">
        <v>1145.4340016126</v>
      </c>
      <c r="F28" s="198">
        <v>60.56789356310583</v>
      </c>
      <c r="G28" s="198">
        <v>-88.81791548740011</v>
      </c>
      <c r="H28" s="198">
        <v>5.582983292933931</v>
      </c>
      <c r="I28" s="198">
        <v>11.409257540649897</v>
      </c>
      <c r="J28" s="198">
        <v>0.7883256725318866</v>
      </c>
      <c r="K28" s="226">
        <v>-7.196092973960033</v>
      </c>
      <c r="L28" s="51"/>
    </row>
    <row r="29" spans="2:11" ht="11.25">
      <c r="B29" s="113" t="s">
        <v>52</v>
      </c>
      <c r="C29" s="198">
        <v>16394.431309235202</v>
      </c>
      <c r="D29" s="198">
        <v>18408.994743732383</v>
      </c>
      <c r="E29" s="198">
        <v>19549.522150284196</v>
      </c>
      <c r="F29" s="198">
        <v>1140.5274065518133</v>
      </c>
      <c r="G29" s="198">
        <v>3155.0908410489938</v>
      </c>
      <c r="H29" s="198">
        <v>6.195489881054602</v>
      </c>
      <c r="I29" s="198">
        <v>5.946516772522781</v>
      </c>
      <c r="J29" s="198">
        <v>2.4029576488703297</v>
      </c>
      <c r="K29" s="226">
        <v>19.244893473503332</v>
      </c>
    </row>
    <row r="30" spans="2:11" ht="11.25">
      <c r="B30" s="113" t="s">
        <v>53</v>
      </c>
      <c r="C30" s="198">
        <v>11543.32579344</v>
      </c>
      <c r="D30" s="198">
        <v>9865.08386341452</v>
      </c>
      <c r="E30" s="198">
        <v>9893.185198179863</v>
      </c>
      <c r="F30" s="198">
        <v>28.10133476534247</v>
      </c>
      <c r="G30" s="198">
        <v>-1650.140595260138</v>
      </c>
      <c r="H30" s="198">
        <v>0.28485652179358145</v>
      </c>
      <c r="I30" s="198">
        <v>6.51091647260269</v>
      </c>
      <c r="J30" s="198">
        <v>-0.6730889289135455</v>
      </c>
      <c r="K30" s="226">
        <v>-14.295192085784347</v>
      </c>
    </row>
    <row r="31" spans="2:11" ht="12" thickBot="1">
      <c r="B31" s="119" t="s">
        <v>106</v>
      </c>
      <c r="C31" s="227">
        <v>3.9309011150360655</v>
      </c>
      <c r="D31" s="227">
        <v>3.9465783504657534</v>
      </c>
      <c r="E31" s="227">
        <v>3.9375824199999996</v>
      </c>
      <c r="F31" s="227">
        <v>-0.008995930465753865</v>
      </c>
      <c r="G31" s="227">
        <v>0.006681304963934043</v>
      </c>
      <c r="H31" s="227">
        <v>-0.22794252810645999</v>
      </c>
      <c r="I31" s="227">
        <v>0.7272252820022418</v>
      </c>
      <c r="J31" s="227">
        <v>0.575616187339345</v>
      </c>
      <c r="K31" s="267">
        <v>0.16996878752246758</v>
      </c>
    </row>
    <row r="32" spans="2:11" ht="11.25">
      <c r="B32" s="42"/>
      <c r="C32" s="98"/>
      <c r="D32" s="98"/>
      <c r="E32" s="98"/>
      <c r="F32" s="98"/>
      <c r="G32" s="98"/>
      <c r="H32" s="98"/>
      <c r="I32" s="98"/>
      <c r="J32" s="98"/>
      <c r="K32" s="98"/>
    </row>
    <row r="33" spans="2:11" ht="11.25">
      <c r="B33" s="42"/>
      <c r="C33" s="23"/>
      <c r="D33" s="23"/>
      <c r="E33" s="23"/>
      <c r="F33" s="23"/>
      <c r="G33" s="23"/>
      <c r="H33" s="23"/>
      <c r="I33" s="23"/>
      <c r="J33" s="23"/>
      <c r="K33" s="23"/>
    </row>
    <row r="34" spans="2:11" ht="12" thickBot="1">
      <c r="B34" s="142"/>
      <c r="C34" s="34"/>
      <c r="D34" s="34"/>
      <c r="E34" s="34"/>
      <c r="F34" s="34"/>
      <c r="G34" s="34"/>
      <c r="H34" s="34"/>
      <c r="I34" s="34"/>
      <c r="J34" s="34"/>
      <c r="K34" s="34"/>
    </row>
    <row r="35" spans="2:11" ht="11.25">
      <c r="B35" s="298" t="s">
        <v>135</v>
      </c>
      <c r="C35" s="299"/>
      <c r="D35" s="299"/>
      <c r="E35" s="299"/>
      <c r="F35" s="299"/>
      <c r="G35" s="299"/>
      <c r="H35" s="299"/>
      <c r="I35" s="299"/>
      <c r="J35" s="299"/>
      <c r="K35" s="300"/>
    </row>
    <row r="36" spans="2:11" ht="11.25">
      <c r="B36" s="287" t="s">
        <v>126</v>
      </c>
      <c r="C36" s="288"/>
      <c r="D36" s="288"/>
      <c r="E36" s="288"/>
      <c r="F36" s="288"/>
      <c r="G36" s="288"/>
      <c r="H36" s="288"/>
      <c r="I36" s="289"/>
      <c r="J36" s="289"/>
      <c r="K36" s="290"/>
    </row>
    <row r="37" spans="2:11" ht="11.25">
      <c r="B37" s="108"/>
      <c r="C37" s="22"/>
      <c r="D37" s="22"/>
      <c r="E37" s="22"/>
      <c r="F37" s="291" t="s">
        <v>110</v>
      </c>
      <c r="G37" s="297"/>
      <c r="H37" s="174" t="s">
        <v>131</v>
      </c>
      <c r="I37" s="294" t="s">
        <v>132</v>
      </c>
      <c r="J37" s="295"/>
      <c r="K37" s="296"/>
    </row>
    <row r="38" spans="2:11" ht="11.25">
      <c r="B38" s="109"/>
      <c r="C38" s="12">
        <f>C25</f>
        <v>39722</v>
      </c>
      <c r="D38" s="12">
        <f>D25</f>
        <v>40082</v>
      </c>
      <c r="E38" s="12">
        <f>E25</f>
        <v>40112</v>
      </c>
      <c r="F38" s="12" t="s">
        <v>113</v>
      </c>
      <c r="G38" s="97" t="s">
        <v>112</v>
      </c>
      <c r="H38" s="97" t="s">
        <v>133</v>
      </c>
      <c r="I38" s="12">
        <f>I25</f>
        <v>40026</v>
      </c>
      <c r="J38" s="12">
        <f>J25</f>
        <v>40057</v>
      </c>
      <c r="K38" s="220">
        <f>K25</f>
        <v>40087</v>
      </c>
    </row>
    <row r="39" spans="2:11" ht="11.25">
      <c r="B39" s="120"/>
      <c r="C39" s="36"/>
      <c r="D39" s="126"/>
      <c r="E39" s="126"/>
      <c r="F39" s="36"/>
      <c r="G39" s="37"/>
      <c r="H39" s="37"/>
      <c r="I39" s="37"/>
      <c r="J39" s="37"/>
      <c r="K39" s="121"/>
    </row>
    <row r="40" spans="2:11" ht="11.25">
      <c r="B40" s="122" t="s">
        <v>145</v>
      </c>
      <c r="C40" s="199">
        <v>32347.40265485</v>
      </c>
      <c r="D40" s="199">
        <v>35238.18056847501</v>
      </c>
      <c r="E40" s="199">
        <v>35566.82652443</v>
      </c>
      <c r="F40" s="199">
        <v>251.42736873499996</v>
      </c>
      <c r="G40" s="199">
        <v>3219.4238695799977</v>
      </c>
      <c r="H40" s="199">
        <v>0.9326416706343984</v>
      </c>
      <c r="I40" s="199">
        <v>9.522946820181598</v>
      </c>
      <c r="J40" s="199">
        <v>10.294121844844817</v>
      </c>
      <c r="K40" s="228">
        <v>9.952650306831657</v>
      </c>
    </row>
    <row r="41" spans="2:11" ht="11.25">
      <c r="B41" s="248" t="s">
        <v>48</v>
      </c>
      <c r="C41" s="249">
        <v>474.49558016000003</v>
      </c>
      <c r="D41" s="249">
        <v>674.49354047</v>
      </c>
      <c r="E41" s="249">
        <v>597.2749532500001</v>
      </c>
      <c r="F41" s="249">
        <v>-77.2185872199999</v>
      </c>
      <c r="G41" s="249">
        <v>122.77937309000004</v>
      </c>
      <c r="H41" s="249">
        <v>-11.448380538409978</v>
      </c>
      <c r="I41" s="249">
        <v>9.522946820181598</v>
      </c>
      <c r="J41" s="249">
        <v>10.294121844844817</v>
      </c>
      <c r="K41" s="250">
        <v>9.952650306831657</v>
      </c>
    </row>
    <row r="42" spans="2:11" ht="11.25">
      <c r="B42" s="123" t="s">
        <v>146</v>
      </c>
      <c r="C42" s="215">
        <v>10962.022119420002</v>
      </c>
      <c r="D42" s="215">
        <v>12420.171515069998</v>
      </c>
      <c r="E42" s="215">
        <v>12646.34026305</v>
      </c>
      <c r="F42" s="215">
        <v>226.16874798000208</v>
      </c>
      <c r="G42" s="215">
        <v>1684.3181436299983</v>
      </c>
      <c r="H42" s="215">
        <v>1.8209792651058043</v>
      </c>
      <c r="I42" s="215">
        <v>13.228984198906367</v>
      </c>
      <c r="J42" s="215">
        <v>14.545773281630115</v>
      </c>
      <c r="K42" s="229">
        <v>15.365031426511244</v>
      </c>
    </row>
    <row r="43" spans="2:11" ht="11.25">
      <c r="B43" s="124" t="s">
        <v>83</v>
      </c>
      <c r="C43" s="201">
        <v>8315.72009386</v>
      </c>
      <c r="D43" s="201">
        <v>9575.76621746</v>
      </c>
      <c r="E43" s="201">
        <v>9715.92986598</v>
      </c>
      <c r="F43" s="200">
        <v>140.16364852000152</v>
      </c>
      <c r="G43" s="200">
        <v>1400.2097721200007</v>
      </c>
      <c r="H43" s="200">
        <v>1.4637329832095707</v>
      </c>
      <c r="I43" s="200">
        <v>13.153837251635991</v>
      </c>
      <c r="J43" s="200">
        <v>15.172157598978831</v>
      </c>
      <c r="K43" s="230">
        <v>16.838106096835315</v>
      </c>
    </row>
    <row r="44" spans="2:11" ht="11.25">
      <c r="B44" s="125" t="s">
        <v>84</v>
      </c>
      <c r="C44" s="202">
        <v>2520.31495655</v>
      </c>
      <c r="D44" s="202">
        <v>2903.94150003</v>
      </c>
      <c r="E44" s="202">
        <v>2972.25960097</v>
      </c>
      <c r="F44" s="200">
        <v>68.31810094000002</v>
      </c>
      <c r="G44" s="200">
        <v>451.94464442000026</v>
      </c>
      <c r="H44" s="200">
        <v>2.352599077470887</v>
      </c>
      <c r="I44" s="200">
        <v>18.29305205310623</v>
      </c>
      <c r="J44" s="200">
        <v>20.686816245301888</v>
      </c>
      <c r="K44" s="230">
        <v>17.93207008693298</v>
      </c>
    </row>
    <row r="45" spans="2:11" ht="11.25">
      <c r="B45" s="125" t="s">
        <v>85</v>
      </c>
      <c r="C45" s="202">
        <v>1728.7664024</v>
      </c>
      <c r="D45" s="202">
        <v>2019.6915159399998</v>
      </c>
      <c r="E45" s="202">
        <v>2058.74640817</v>
      </c>
      <c r="F45" s="200">
        <v>39.05489223000018</v>
      </c>
      <c r="G45" s="200">
        <v>329.98000576999993</v>
      </c>
      <c r="H45" s="200">
        <v>1.9337058120889987</v>
      </c>
      <c r="I45" s="200">
        <v>16.056882722069354</v>
      </c>
      <c r="J45" s="200">
        <v>16.71236944640122</v>
      </c>
      <c r="K45" s="230">
        <v>19.08759941840017</v>
      </c>
    </row>
    <row r="46" spans="2:11" ht="11.25">
      <c r="B46" s="125" t="s">
        <v>86</v>
      </c>
      <c r="C46" s="202">
        <v>4066.63873491</v>
      </c>
      <c r="D46" s="202">
        <v>4652.13320149</v>
      </c>
      <c r="E46" s="202">
        <v>4684.92385684</v>
      </c>
      <c r="F46" s="200">
        <v>32.790655349999724</v>
      </c>
      <c r="G46" s="200">
        <v>618.2851219299996</v>
      </c>
      <c r="H46" s="200">
        <v>0.7048520308811758</v>
      </c>
      <c r="I46" s="200">
        <v>8.72864842532055</v>
      </c>
      <c r="J46" s="200">
        <v>11.357905624530273</v>
      </c>
      <c r="K46" s="230">
        <v>15.203836933493498</v>
      </c>
    </row>
    <row r="47" spans="2:11" ht="11.25">
      <c r="B47" s="124" t="s">
        <v>87</v>
      </c>
      <c r="C47" s="202">
        <v>1672.8993692699999</v>
      </c>
      <c r="D47" s="202">
        <v>1927.63037125</v>
      </c>
      <c r="E47" s="202">
        <v>1948.90626563</v>
      </c>
      <c r="F47" s="200">
        <v>21.275894379999954</v>
      </c>
      <c r="G47" s="200">
        <v>276.00689636000016</v>
      </c>
      <c r="H47" s="200">
        <v>1.1037330962057466</v>
      </c>
      <c r="I47" s="200">
        <v>23.33207401713333</v>
      </c>
      <c r="J47" s="200">
        <v>18.2865580158319</v>
      </c>
      <c r="K47" s="230">
        <v>16.498714831869464</v>
      </c>
    </row>
    <row r="48" spans="2:11" ht="11.25">
      <c r="B48" s="124" t="s">
        <v>88</v>
      </c>
      <c r="C48" s="202">
        <v>58.314051809999995</v>
      </c>
      <c r="D48" s="202">
        <v>62.9321508</v>
      </c>
      <c r="E48" s="202">
        <v>63.35643736</v>
      </c>
      <c r="F48" s="200">
        <v>0.42428655999999876</v>
      </c>
      <c r="G48" s="200">
        <v>5.042385550000006</v>
      </c>
      <c r="H48" s="200">
        <v>0.674196820872041</v>
      </c>
      <c r="I48" s="200">
        <v>0.3186508778852071</v>
      </c>
      <c r="J48" s="200">
        <v>-5.675747241509887</v>
      </c>
      <c r="K48" s="230">
        <v>8.646947679830586</v>
      </c>
    </row>
    <row r="49" spans="2:12" ht="11.25">
      <c r="B49" s="124" t="s">
        <v>89</v>
      </c>
      <c r="C49" s="202">
        <v>915.08860448</v>
      </c>
      <c r="D49" s="202">
        <v>853.84277556</v>
      </c>
      <c r="E49" s="202">
        <v>918.14769408</v>
      </c>
      <c r="F49" s="200">
        <v>64.30491852</v>
      </c>
      <c r="G49" s="200">
        <v>3.059089599999993</v>
      </c>
      <c r="H49" s="200">
        <v>7.531236471237351</v>
      </c>
      <c r="I49" s="200">
        <v>-3.5559184832330115</v>
      </c>
      <c r="J49" s="200">
        <v>2.585427599598744</v>
      </c>
      <c r="K49" s="230">
        <v>0.3342943606797766</v>
      </c>
      <c r="L49" s="49"/>
    </row>
    <row r="50" spans="2:13" ht="11.25">
      <c r="B50" s="123" t="s">
        <v>127</v>
      </c>
      <c r="C50" s="214">
        <v>21318.47453543</v>
      </c>
      <c r="D50" s="214">
        <v>22721.198053405005</v>
      </c>
      <c r="E50" s="214">
        <v>22820.396261380003</v>
      </c>
      <c r="F50" s="215">
        <v>99.19820797499779</v>
      </c>
      <c r="G50" s="215">
        <v>1501.9217259500037</v>
      </c>
      <c r="H50" s="215">
        <v>0.4365888090136687</v>
      </c>
      <c r="I50" s="215">
        <v>7.50296240082069</v>
      </c>
      <c r="J50" s="215">
        <v>7.989587904518181</v>
      </c>
      <c r="K50" s="229">
        <v>7.045165091216532</v>
      </c>
      <c r="L50" s="49"/>
      <c r="M50" s="49"/>
    </row>
    <row r="51" spans="2:11" ht="11.25">
      <c r="B51" s="124" t="s">
        <v>90</v>
      </c>
      <c r="C51" s="203">
        <v>17500.33264733</v>
      </c>
      <c r="D51" s="203">
        <v>18775.978554165</v>
      </c>
      <c r="E51" s="203">
        <v>18886.081722810002</v>
      </c>
      <c r="F51" s="200">
        <v>110.10316864500055</v>
      </c>
      <c r="G51" s="200">
        <v>1385.749075480002</v>
      </c>
      <c r="H51" s="200">
        <v>0.5864044226902719</v>
      </c>
      <c r="I51" s="200">
        <v>8.735942109681005</v>
      </c>
      <c r="J51" s="200">
        <v>9.04019006084087</v>
      </c>
      <c r="K51" s="230">
        <v>7.918415629039055</v>
      </c>
    </row>
    <row r="52" spans="2:11" ht="11.25">
      <c r="B52" s="125" t="s">
        <v>84</v>
      </c>
      <c r="C52" s="202">
        <v>14115.71080628</v>
      </c>
      <c r="D52" s="202">
        <v>15066.70242576</v>
      </c>
      <c r="E52" s="202">
        <v>15204.67599672</v>
      </c>
      <c r="F52" s="200">
        <v>137.97357095999905</v>
      </c>
      <c r="G52" s="200">
        <v>1088.9651904399998</v>
      </c>
      <c r="H52" s="200">
        <v>0.915751616120734</v>
      </c>
      <c r="I52" s="200">
        <v>8.141667909503191</v>
      </c>
      <c r="J52" s="200">
        <v>7.845998607115701</v>
      </c>
      <c r="K52" s="230">
        <v>7.714561493818128</v>
      </c>
    </row>
    <row r="53" spans="2:11" ht="11.25">
      <c r="B53" s="125" t="s">
        <v>91</v>
      </c>
      <c r="C53" s="202">
        <v>2174.03007202</v>
      </c>
      <c r="D53" s="202">
        <v>2459.901803395</v>
      </c>
      <c r="E53" s="202">
        <v>2413.94055369</v>
      </c>
      <c r="F53" s="200">
        <v>-45.96124970500023</v>
      </c>
      <c r="G53" s="200">
        <v>239.91048167000008</v>
      </c>
      <c r="H53" s="200">
        <v>-1.868418066183269</v>
      </c>
      <c r="I53" s="200">
        <v>17.949863711756574</v>
      </c>
      <c r="J53" s="200">
        <v>21.80630128068939</v>
      </c>
      <c r="K53" s="230">
        <v>11.035288092730354</v>
      </c>
    </row>
    <row r="54" spans="2:12" ht="11.25">
      <c r="B54" s="125" t="s">
        <v>86</v>
      </c>
      <c r="C54" s="202">
        <v>1210.59176903</v>
      </c>
      <c r="D54" s="202">
        <v>1249.3743250100001</v>
      </c>
      <c r="E54" s="202">
        <v>1267.4651724</v>
      </c>
      <c r="F54" s="200">
        <v>18.090847389999908</v>
      </c>
      <c r="G54" s="200">
        <v>56.873403370000005</v>
      </c>
      <c r="H54" s="200">
        <v>1.4479925693890905</v>
      </c>
      <c r="I54" s="200">
        <v>-0.1061436281969641</v>
      </c>
      <c r="J54" s="200">
        <v>1.638904120003759</v>
      </c>
      <c r="K54" s="230">
        <v>4.69798364939904</v>
      </c>
      <c r="L54" s="49"/>
    </row>
    <row r="55" spans="2:11" ht="11.25">
      <c r="B55" s="124" t="s">
        <v>87</v>
      </c>
      <c r="C55" s="202">
        <v>3243.4987146500002</v>
      </c>
      <c r="D55" s="202">
        <v>3268.0860713099996</v>
      </c>
      <c r="E55" s="202">
        <v>3232.9090389499997</v>
      </c>
      <c r="F55" s="200">
        <v>-35.177032359999885</v>
      </c>
      <c r="G55" s="200">
        <v>-10.589675700000498</v>
      </c>
      <c r="H55" s="200">
        <v>-1.076380229664493</v>
      </c>
      <c r="I55" s="200">
        <v>-0.6854086700920914</v>
      </c>
      <c r="J55" s="200">
        <v>0.6944939529656358</v>
      </c>
      <c r="K55" s="230">
        <v>-0.3264892830747823</v>
      </c>
    </row>
    <row r="56" spans="2:11" ht="11.25">
      <c r="B56" s="124" t="s">
        <v>88</v>
      </c>
      <c r="C56" s="202">
        <v>102.79103545999999</v>
      </c>
      <c r="D56" s="202">
        <v>89.54035464</v>
      </c>
      <c r="E56" s="202">
        <v>86.92104235000002</v>
      </c>
      <c r="F56" s="200">
        <v>-2.619312289999982</v>
      </c>
      <c r="G56" s="200">
        <v>-15.869993109999967</v>
      </c>
      <c r="H56" s="200">
        <v>-2.9252869284815937</v>
      </c>
      <c r="I56" s="200">
        <v>-16.04177514578523</v>
      </c>
      <c r="J56" s="200">
        <v>-16.83767730158685</v>
      </c>
      <c r="K56" s="230">
        <v>-15.439082833420436</v>
      </c>
    </row>
    <row r="57" spans="2:11" ht="11.25">
      <c r="B57" s="124" t="s">
        <v>89</v>
      </c>
      <c r="C57" s="202">
        <v>471.8521379900001</v>
      </c>
      <c r="D57" s="202">
        <v>587.59307329</v>
      </c>
      <c r="E57" s="202">
        <v>614.4844572699999</v>
      </c>
      <c r="F57" s="200">
        <v>26.891383979999887</v>
      </c>
      <c r="G57" s="200">
        <v>142.63231927999982</v>
      </c>
      <c r="H57" s="200">
        <v>4.576531821492039</v>
      </c>
      <c r="I57" s="200">
        <v>24.866393374147755</v>
      </c>
      <c r="J57" s="200">
        <v>25.65070084067491</v>
      </c>
      <c r="K57" s="230">
        <v>30.228181202608575</v>
      </c>
    </row>
    <row r="58" spans="2:11" ht="12" thickBot="1">
      <c r="B58" s="216" t="s">
        <v>92</v>
      </c>
      <c r="C58" s="216">
        <v>66.90599999999999</v>
      </c>
      <c r="D58" s="216">
        <v>96.811</v>
      </c>
      <c r="E58" s="272">
        <v>100.08999999999999</v>
      </c>
      <c r="F58" s="216">
        <v>3.278999999999982</v>
      </c>
      <c r="G58" s="216">
        <v>33.184</v>
      </c>
      <c r="H58" s="216">
        <v>3.3870118065095727</v>
      </c>
      <c r="I58" s="216">
        <v>48.168761613725785</v>
      </c>
      <c r="J58" s="216">
        <v>46.39276587379592</v>
      </c>
      <c r="K58" s="231">
        <v>49.59794338325412</v>
      </c>
    </row>
    <row r="59" ht="11.25">
      <c r="B59" s="55" t="s">
        <v>125</v>
      </c>
    </row>
    <row r="62" spans="2:11" ht="12">
      <c r="B62" s="285"/>
      <c r="C62" s="286"/>
      <c r="D62" s="286"/>
      <c r="E62" s="286"/>
      <c r="F62" s="286"/>
      <c r="G62" s="286"/>
      <c r="H62" s="286"/>
      <c r="I62" s="286"/>
      <c r="J62" s="286"/>
      <c r="K62" s="286"/>
    </row>
  </sheetData>
  <sheetProtection/>
  <mergeCells count="13">
    <mergeCell ref="B2:K2"/>
    <mergeCell ref="B22:K22"/>
    <mergeCell ref="F4:G4"/>
    <mergeCell ref="F24:G24"/>
    <mergeCell ref="I4:K4"/>
    <mergeCell ref="B3:K3"/>
    <mergeCell ref="B23:K23"/>
    <mergeCell ref="B62:K62"/>
    <mergeCell ref="B36:K36"/>
    <mergeCell ref="I24:K24"/>
    <mergeCell ref="I37:K37"/>
    <mergeCell ref="F37:G37"/>
    <mergeCell ref="B35:K3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51"/>
  <sheetViews>
    <sheetView showGridLines="0" zoomScale="70" zoomScaleNormal="70" workbookViewId="0" topLeftCell="A19">
      <selection activeCell="L37" sqref="L37"/>
    </sheetView>
  </sheetViews>
  <sheetFormatPr defaultColWidth="9.140625" defaultRowHeight="12"/>
  <cols>
    <col min="1" max="16384" width="9.28125" style="1" customWidth="1"/>
  </cols>
  <sheetData>
    <row r="2" spans="1:14" ht="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5.75">
      <c r="A3" s="102"/>
      <c r="B3" s="307" t="s">
        <v>109</v>
      </c>
      <c r="C3" s="308"/>
      <c r="D3" s="308"/>
      <c r="E3" s="308"/>
      <c r="F3" s="308"/>
      <c r="G3" s="308"/>
      <c r="H3" s="308"/>
      <c r="I3" s="308"/>
      <c r="J3" s="308"/>
      <c r="K3" s="308"/>
      <c r="L3" s="309"/>
      <c r="M3" s="309"/>
      <c r="N3" s="102"/>
    </row>
    <row r="4" spans="1:17" ht="15">
      <c r="A4" s="244"/>
      <c r="N4" s="244"/>
      <c r="O4" s="245"/>
      <c r="P4" s="245"/>
      <c r="Q4" s="245"/>
    </row>
    <row r="5" spans="1:17" ht="15.75">
      <c r="A5" s="244"/>
      <c r="B5" s="139"/>
      <c r="C5" s="140"/>
      <c r="D5" s="140"/>
      <c r="E5" s="140"/>
      <c r="F5" s="140"/>
      <c r="G5" s="140"/>
      <c r="H5" s="140"/>
      <c r="I5" s="140"/>
      <c r="J5" s="140"/>
      <c r="K5" s="140"/>
      <c r="L5" s="141"/>
      <c r="M5" s="141"/>
      <c r="N5" s="244"/>
      <c r="O5" s="245"/>
      <c r="P5" s="245"/>
      <c r="Q5" s="245"/>
    </row>
    <row r="6" spans="1:17" ht="15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</row>
    <row r="7" spans="1:17" ht="15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5"/>
      <c r="P7" s="245"/>
      <c r="Q7" s="245"/>
    </row>
    <row r="8" spans="1:17" ht="15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  <c r="P8" s="245"/>
      <c r="Q8" s="245"/>
    </row>
    <row r="9" spans="1:17" ht="15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5"/>
      <c r="P9" s="245"/>
      <c r="Q9" s="245"/>
    </row>
    <row r="10" spans="1:17" ht="15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5"/>
      <c r="P10" s="245"/>
      <c r="Q10" s="245"/>
    </row>
    <row r="11" spans="1:17" ht="15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5"/>
      <c r="P11" s="245"/>
      <c r="Q11" s="245"/>
    </row>
    <row r="12" spans="1:17" ht="15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5"/>
      <c r="P12" s="245"/>
      <c r="Q12" s="245"/>
    </row>
    <row r="13" spans="1:17" ht="15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5"/>
      <c r="P13" s="245"/>
      <c r="Q13" s="245"/>
    </row>
    <row r="14" spans="1:17" ht="15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5"/>
      <c r="P14" s="245"/>
      <c r="Q14" s="245"/>
    </row>
    <row r="15" spans="1:17" ht="15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5"/>
      <c r="P15" s="245"/>
      <c r="Q15" s="245"/>
    </row>
    <row r="16" spans="1:17" ht="15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5"/>
      <c r="P16" s="245"/>
      <c r="Q16" s="245"/>
    </row>
    <row r="17" spans="1:17" ht="15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5"/>
      <c r="P17" s="245"/>
      <c r="Q17" s="245"/>
    </row>
    <row r="18" spans="1:17" ht="15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5"/>
      <c r="P18" s="245"/>
      <c r="Q18" s="245"/>
    </row>
    <row r="19" spans="1:17" ht="15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5"/>
      <c r="P19" s="245"/>
      <c r="Q19" s="245"/>
    </row>
    <row r="20" spans="1:17" ht="15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5"/>
      <c r="P20" s="245"/>
      <c r="Q20" s="245"/>
    </row>
    <row r="21" spans="1:17" ht="15">
      <c r="A21" s="245"/>
      <c r="B21" s="245"/>
      <c r="C21" s="245"/>
      <c r="D21" s="244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</row>
    <row r="22" spans="1:17" ht="15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</row>
    <row r="23" spans="1:17" ht="15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</row>
    <row r="24" spans="1:17" ht="15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</row>
    <row r="25" spans="1:17" ht="15.75">
      <c r="A25" s="307"/>
      <c r="B25" s="308"/>
      <c r="C25" s="308"/>
      <c r="D25" s="308"/>
      <c r="E25" s="308"/>
      <c r="F25" s="308"/>
      <c r="G25" s="308"/>
      <c r="H25" s="308"/>
      <c r="I25" s="308"/>
      <c r="J25" s="308"/>
      <c r="K25" s="309"/>
      <c r="L25" s="309"/>
      <c r="M25" s="245"/>
      <c r="N25" s="245"/>
      <c r="O25" s="245"/>
      <c r="P25" s="245"/>
      <c r="Q25" s="245"/>
    </row>
    <row r="26" spans="1:17" ht="15">
      <c r="A26" s="245"/>
      <c r="B26" s="246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</row>
    <row r="27" spans="1:17" ht="15">
      <c r="A27" s="245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</row>
    <row r="28" spans="1:17" ht="15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</row>
    <row r="29" spans="1:17" ht="15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</row>
    <row r="30" spans="1:17" ht="15">
      <c r="A30" s="245"/>
      <c r="N30" s="245"/>
      <c r="O30" s="245"/>
      <c r="P30" s="245"/>
      <c r="Q30" s="245"/>
    </row>
    <row r="31" spans="1:17" ht="15">
      <c r="A31" s="245"/>
      <c r="N31" s="245"/>
      <c r="O31" s="245"/>
      <c r="P31" s="245"/>
      <c r="Q31" s="245"/>
    </row>
    <row r="32" spans="1:17" ht="15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</row>
    <row r="33" spans="1:17" ht="15">
      <c r="A33" s="245"/>
      <c r="N33" s="245"/>
      <c r="O33" s="245"/>
      <c r="P33" s="245"/>
      <c r="Q33" s="245"/>
    </row>
    <row r="34" spans="1:17" ht="15">
      <c r="A34" s="245"/>
      <c r="N34" s="245"/>
      <c r="O34" s="245"/>
      <c r="P34" s="245"/>
      <c r="Q34" s="245"/>
    </row>
    <row r="35" spans="1:17" ht="15">
      <c r="A35" s="245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</row>
    <row r="36" spans="1:17" ht="15">
      <c r="A36" s="245"/>
      <c r="B36" s="245"/>
      <c r="C36" s="247"/>
      <c r="D36" s="247"/>
      <c r="E36" s="247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</row>
    <row r="37" spans="1:17" ht="15">
      <c r="A37" s="245"/>
      <c r="B37" s="245"/>
      <c r="C37" s="247"/>
      <c r="D37" s="247"/>
      <c r="E37" s="247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1:17" ht="15">
      <c r="A38" s="245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</row>
    <row r="39" spans="1:17" ht="15">
      <c r="A39" s="245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1:17" ht="15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</row>
    <row r="41" spans="1:17" ht="15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</row>
    <row r="42" spans="1:17" ht="15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</row>
    <row r="43" spans="1:17" ht="15">
      <c r="A43" s="245"/>
      <c r="C43" s="15"/>
      <c r="D43" s="260"/>
      <c r="E43" s="260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</row>
    <row r="44" spans="1:17" ht="15.75">
      <c r="A44" s="245"/>
      <c r="B44" s="307" t="s">
        <v>165</v>
      </c>
      <c r="C44" s="308"/>
      <c r="D44" s="308"/>
      <c r="E44" s="308"/>
      <c r="F44" s="308"/>
      <c r="G44" s="308"/>
      <c r="H44" s="308"/>
      <c r="I44" s="308"/>
      <c r="J44" s="308"/>
      <c r="K44" s="308"/>
      <c r="L44" s="309"/>
      <c r="M44" s="309"/>
      <c r="N44" s="245"/>
      <c r="O44" s="245"/>
      <c r="P44" s="245"/>
      <c r="Q44" s="245"/>
    </row>
    <row r="45" spans="1:17" ht="15">
      <c r="A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</row>
    <row r="46" spans="1:17" ht="15">
      <c r="A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</row>
    <row r="47" spans="1:17" ht="15">
      <c r="A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</row>
    <row r="48" spans="1:17" ht="15">
      <c r="A48" s="245"/>
      <c r="N48" s="245"/>
      <c r="O48" s="245"/>
      <c r="P48" s="245"/>
      <c r="Q48" s="245"/>
    </row>
    <row r="49" spans="2:5" ht="15">
      <c r="B49" s="173"/>
      <c r="C49" s="100"/>
      <c r="D49" s="100"/>
      <c r="E49" s="100"/>
    </row>
    <row r="50" ht="15">
      <c r="B50" s="259"/>
    </row>
    <row r="51" ht="15">
      <c r="B51" s="261"/>
    </row>
  </sheetData>
  <sheetProtection/>
  <mergeCells count="3">
    <mergeCell ref="B3:M3"/>
    <mergeCell ref="A25:L25"/>
    <mergeCell ref="B44:M44"/>
  </mergeCells>
  <printOptions horizontalCentered="1"/>
  <pageMargins left="0.43" right="0.29" top="1" bottom="1" header="0.5" footer="0.5"/>
  <pageSetup fitToHeight="1" fitToWidth="1" horizontalDpi="600" verticalDpi="600" orientation="portrait" paperSize="9" scale="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3"/>
  <sheetViews>
    <sheetView showGridLines="0" zoomScale="80" zoomScaleNormal="80" zoomScalePageLayoutView="0" workbookViewId="0" topLeftCell="A1">
      <selection activeCell="S63" sqref="S62:S63"/>
    </sheetView>
  </sheetViews>
  <sheetFormatPr defaultColWidth="9.140625" defaultRowHeight="12"/>
  <sheetData>
    <row r="2" spans="2:13" ht="12.75">
      <c r="B2" s="310" t="s">
        <v>124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26" ht="12">
      <c r="A26" s="176"/>
    </row>
    <row r="29" ht="12">
      <c r="B29" s="100"/>
    </row>
    <row r="30" spans="2:13" ht="12.75">
      <c r="B30" s="310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</row>
    <row r="48" spans="2:13" ht="12.75">
      <c r="B48" s="310" t="s">
        <v>134</v>
      </c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</row>
    <row r="73" ht="12">
      <c r="B73" s="100"/>
    </row>
  </sheetData>
  <sheetProtection/>
  <mergeCells count="3">
    <mergeCell ref="B2:M2"/>
    <mergeCell ref="B48:M48"/>
    <mergeCell ref="B30:M30"/>
  </mergeCells>
  <printOptions/>
  <pageMargins left="0.7" right="0.7" top="0.75" bottom="0.75" header="0.3" footer="0.3"/>
  <pageSetup fitToHeight="1" fitToWidth="1" horizontalDpi="600" verticalDpi="600" orientation="portrait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7"/>
  <sheetViews>
    <sheetView showGridLines="0" zoomScale="110" zoomScaleNormal="110" zoomScaleSheetLayoutView="75" zoomScalePageLayoutView="0" workbookViewId="0" topLeftCell="A1">
      <selection activeCell="D85" sqref="D85"/>
    </sheetView>
  </sheetViews>
  <sheetFormatPr defaultColWidth="9.140625" defaultRowHeight="12"/>
  <cols>
    <col min="1" max="1" width="83.140625" style="2" customWidth="1"/>
    <col min="2" max="2" width="12.421875" style="2" customWidth="1"/>
    <col min="3" max="3" width="13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.75" thickBot="1">
      <c r="A1" s="21" t="s">
        <v>44</v>
      </c>
    </row>
    <row r="2" spans="1:4" ht="12.75" thickBot="1">
      <c r="A2" s="3" t="s">
        <v>2</v>
      </c>
      <c r="B2" s="47">
        <v>40059</v>
      </c>
      <c r="C2" s="47">
        <v>40090</v>
      </c>
      <c r="D2" s="4"/>
    </row>
    <row r="3" spans="1:4" ht="12">
      <c r="A3" s="5"/>
      <c r="B3" s="32"/>
      <c r="C3" s="32"/>
      <c r="D3" s="4"/>
    </row>
    <row r="4" spans="1:4" ht="12">
      <c r="A4" s="5" t="s">
        <v>168</v>
      </c>
      <c r="B4" s="33">
        <v>7</v>
      </c>
      <c r="C4" s="33">
        <v>7</v>
      </c>
      <c r="D4" s="4"/>
    </row>
    <row r="5" spans="1:4" ht="12">
      <c r="A5" s="5"/>
      <c r="B5" s="33"/>
      <c r="C5" s="33"/>
      <c r="D5" s="4"/>
    </row>
    <row r="6" spans="1:4" ht="12">
      <c r="A6" s="5" t="s">
        <v>39</v>
      </c>
      <c r="B6" s="33">
        <v>11.38</v>
      </c>
      <c r="C6" s="33">
        <v>11.31</v>
      </c>
      <c r="D6" s="4"/>
    </row>
    <row r="7" spans="1:4" ht="12">
      <c r="A7" s="5"/>
      <c r="B7" s="33"/>
      <c r="C7" s="33"/>
      <c r="D7" s="4"/>
    </row>
    <row r="8" spans="1:4" ht="12">
      <c r="A8" s="5" t="s">
        <v>3</v>
      </c>
      <c r="B8" s="33">
        <v>11.69</v>
      </c>
      <c r="C8" s="33">
        <v>11.69</v>
      </c>
      <c r="D8" s="4"/>
    </row>
    <row r="9" spans="1:4" ht="12">
      <c r="A9" s="5"/>
      <c r="B9" s="33"/>
      <c r="C9" s="33"/>
      <c r="D9" s="4"/>
    </row>
    <row r="10" spans="1:4" ht="12">
      <c r="A10" s="5" t="s">
        <v>102</v>
      </c>
      <c r="B10" s="50">
        <v>10.55</v>
      </c>
      <c r="C10" s="50">
        <v>9.91</v>
      </c>
      <c r="D10" s="4"/>
    </row>
    <row r="11" spans="1:4" ht="12">
      <c r="A11" s="5"/>
      <c r="B11" s="33"/>
      <c r="C11" s="33"/>
      <c r="D11" s="4"/>
    </row>
    <row r="12" spans="1:4" ht="12">
      <c r="A12" s="5" t="s">
        <v>4</v>
      </c>
      <c r="B12" s="50">
        <v>5.27</v>
      </c>
      <c r="C12" s="50">
        <v>5.15</v>
      </c>
      <c r="D12" s="4"/>
    </row>
    <row r="13" spans="1:4" ht="12">
      <c r="A13" s="5"/>
      <c r="B13" s="33"/>
      <c r="C13" s="33"/>
      <c r="D13" s="4"/>
    </row>
    <row r="14" spans="1:4" ht="12">
      <c r="A14" s="6" t="s">
        <v>5</v>
      </c>
      <c r="B14" s="33"/>
      <c r="C14" s="33"/>
      <c r="D14" s="4"/>
    </row>
    <row r="15" spans="1:3" ht="12">
      <c r="A15" s="5"/>
      <c r="B15" s="33"/>
      <c r="C15" s="33"/>
    </row>
    <row r="16" spans="1:3" ht="12">
      <c r="A16" s="5" t="s">
        <v>6</v>
      </c>
      <c r="B16" s="50">
        <v>6.96</v>
      </c>
      <c r="C16" s="50">
        <v>7.02</v>
      </c>
    </row>
    <row r="17" spans="1:3" ht="12">
      <c r="A17" s="5" t="s">
        <v>38</v>
      </c>
      <c r="B17" s="50">
        <v>7.27</v>
      </c>
      <c r="C17" s="50">
        <v>7.34</v>
      </c>
    </row>
    <row r="18" spans="1:3" ht="12">
      <c r="A18" s="5" t="s">
        <v>7</v>
      </c>
      <c r="B18" s="50">
        <v>160</v>
      </c>
      <c r="C18" s="50">
        <v>120.36</v>
      </c>
    </row>
    <row r="19" spans="1:3" ht="12">
      <c r="A19" s="5" t="s">
        <v>8</v>
      </c>
      <c r="B19" s="50">
        <v>160</v>
      </c>
      <c r="C19" s="50">
        <v>150</v>
      </c>
    </row>
    <row r="20" spans="1:3" ht="12">
      <c r="A20" s="5"/>
      <c r="B20" s="33"/>
      <c r="C20" s="33"/>
    </row>
    <row r="21" spans="1:3" ht="12">
      <c r="A21" s="6" t="s">
        <v>9</v>
      </c>
      <c r="B21" s="33"/>
      <c r="C21" s="33"/>
    </row>
    <row r="22" spans="1:3" ht="12">
      <c r="A22" s="5"/>
      <c r="B22" s="33"/>
      <c r="C22" s="33"/>
    </row>
    <row r="23" spans="1:3" ht="12">
      <c r="A23" s="5" t="s">
        <v>6</v>
      </c>
      <c r="B23" s="50">
        <v>7.08</v>
      </c>
      <c r="C23" s="50">
        <v>7.08</v>
      </c>
    </row>
    <row r="24" spans="1:3" ht="12">
      <c r="A24" s="5" t="s">
        <v>37</v>
      </c>
      <c r="B24" s="50">
        <v>7.47</v>
      </c>
      <c r="C24" s="50">
        <v>7.47</v>
      </c>
    </row>
    <row r="25" spans="1:3" ht="12">
      <c r="A25" s="5" t="s">
        <v>7</v>
      </c>
      <c r="B25" s="50">
        <v>150</v>
      </c>
      <c r="C25" s="50">
        <v>150</v>
      </c>
    </row>
    <row r="26" spans="1:3" ht="12">
      <c r="A26" s="5" t="s">
        <v>8</v>
      </c>
      <c r="B26" s="50">
        <v>150</v>
      </c>
      <c r="C26" s="50">
        <v>150</v>
      </c>
    </row>
    <row r="27" spans="1:3" ht="12">
      <c r="A27" s="5"/>
      <c r="B27" s="33"/>
      <c r="C27" s="33"/>
    </row>
    <row r="28" spans="1:3" ht="12">
      <c r="A28" s="6" t="s">
        <v>40</v>
      </c>
      <c r="B28" s="33"/>
      <c r="C28" s="33"/>
    </row>
    <row r="29" spans="1:3" ht="12">
      <c r="A29" s="5"/>
      <c r="B29" s="48"/>
      <c r="C29" s="48"/>
    </row>
    <row r="30" spans="1:3" ht="12">
      <c r="A30" s="5" t="s">
        <v>6</v>
      </c>
      <c r="B30" s="50">
        <v>7.19</v>
      </c>
      <c r="C30" s="50">
        <v>7.29</v>
      </c>
    </row>
    <row r="31" spans="1:3" ht="12">
      <c r="A31" s="5" t="s">
        <v>37</v>
      </c>
      <c r="B31" s="50">
        <v>7.74</v>
      </c>
      <c r="C31" s="50">
        <v>7.76</v>
      </c>
    </row>
    <row r="32" spans="1:3" ht="12">
      <c r="A32" s="5" t="s">
        <v>7</v>
      </c>
      <c r="B32" s="50">
        <v>150</v>
      </c>
      <c r="C32" s="50">
        <v>100</v>
      </c>
    </row>
    <row r="33" spans="1:3" ht="12">
      <c r="A33" s="5" t="s">
        <v>8</v>
      </c>
      <c r="B33" s="50">
        <v>150</v>
      </c>
      <c r="C33" s="50">
        <v>100</v>
      </c>
    </row>
    <row r="34" spans="1:3" ht="12">
      <c r="A34" s="5"/>
      <c r="B34" s="33"/>
      <c r="C34" s="33"/>
    </row>
    <row r="35" spans="1:3" ht="12">
      <c r="A35" s="5"/>
      <c r="B35" s="33"/>
      <c r="C35" s="33"/>
    </row>
    <row r="36" spans="1:3" ht="12">
      <c r="A36" s="5"/>
      <c r="B36" s="33"/>
      <c r="C36" s="33"/>
    </row>
    <row r="37" spans="1:3" ht="12">
      <c r="A37" s="6" t="s">
        <v>41</v>
      </c>
      <c r="B37" s="177">
        <v>3540</v>
      </c>
      <c r="C37" s="177">
        <v>3510</v>
      </c>
    </row>
    <row r="38" spans="1:3" ht="12">
      <c r="A38" s="5"/>
      <c r="B38" s="33"/>
      <c r="C38" s="33"/>
    </row>
    <row r="39" spans="1:3" ht="12">
      <c r="A39" s="5"/>
      <c r="B39" s="30"/>
      <c r="C39" s="30"/>
    </row>
    <row r="40" spans="1:3" ht="12.75" thickBot="1">
      <c r="A40" s="5"/>
      <c r="B40" s="104"/>
      <c r="C40" s="104"/>
    </row>
    <row r="41" spans="1:3" ht="12.75" thickBot="1">
      <c r="A41" s="3" t="s">
        <v>10</v>
      </c>
      <c r="B41" s="47">
        <f>B2</f>
        <v>40059</v>
      </c>
      <c r="C41" s="47">
        <f>C2</f>
        <v>40090</v>
      </c>
    </row>
    <row r="42" spans="1:3" ht="12">
      <c r="A42" s="5"/>
      <c r="B42" s="105"/>
      <c r="C42" s="105"/>
    </row>
    <row r="43" spans="1:3" ht="12">
      <c r="A43" s="6" t="s">
        <v>11</v>
      </c>
      <c r="B43" s="30"/>
      <c r="C43" s="30"/>
    </row>
    <row r="44" spans="1:3" ht="12">
      <c r="A44" s="7" t="s">
        <v>81</v>
      </c>
      <c r="B44" s="30"/>
      <c r="C44" s="30"/>
    </row>
    <row r="45" spans="1:3" ht="12">
      <c r="A45" s="5" t="s">
        <v>12</v>
      </c>
      <c r="B45" s="277">
        <v>8.82</v>
      </c>
      <c r="C45" s="277">
        <v>8.82</v>
      </c>
    </row>
    <row r="46" spans="1:3" ht="12">
      <c r="A46" s="5" t="s">
        <v>7</v>
      </c>
      <c r="B46" s="277">
        <v>8</v>
      </c>
      <c r="C46" s="277">
        <v>8</v>
      </c>
    </row>
    <row r="47" spans="1:3" ht="12">
      <c r="A47" s="5" t="s">
        <v>8</v>
      </c>
      <c r="B47" s="277">
        <v>0</v>
      </c>
      <c r="C47" s="277">
        <v>0</v>
      </c>
    </row>
    <row r="48" spans="1:3" ht="12">
      <c r="A48" s="5"/>
      <c r="B48" s="278"/>
      <c r="C48" s="278"/>
    </row>
    <row r="49" spans="1:3" ht="12">
      <c r="A49" s="5" t="s">
        <v>13</v>
      </c>
      <c r="B49" s="279">
        <v>5805.68</v>
      </c>
      <c r="C49" s="279">
        <v>6566.677</v>
      </c>
    </row>
    <row r="50" spans="1:3" ht="12.75" thickBot="1">
      <c r="A50" s="5"/>
      <c r="B50" s="104"/>
      <c r="C50" s="104"/>
    </row>
    <row r="51" spans="1:3" ht="12.75" thickBot="1">
      <c r="A51" s="3" t="s">
        <v>14</v>
      </c>
      <c r="B51" s="47">
        <f>B41</f>
        <v>40059</v>
      </c>
      <c r="C51" s="47">
        <f>C41</f>
        <v>40090</v>
      </c>
    </row>
    <row r="52" spans="1:3" ht="12">
      <c r="A52" s="5"/>
      <c r="B52" s="105"/>
      <c r="C52" s="105"/>
    </row>
    <row r="53" spans="1:3" ht="12">
      <c r="A53" s="6" t="s">
        <v>15</v>
      </c>
      <c r="B53" s="30"/>
      <c r="C53" s="30"/>
    </row>
    <row r="54" spans="1:3" ht="12">
      <c r="A54" s="5"/>
      <c r="B54" s="30"/>
      <c r="C54" s="30"/>
    </row>
    <row r="55" spans="1:4" ht="12">
      <c r="A55" s="5" t="s">
        <v>16</v>
      </c>
      <c r="B55" s="177">
        <v>38.14</v>
      </c>
      <c r="C55" s="177">
        <v>48.65</v>
      </c>
      <c r="D55" s="8"/>
    </row>
    <row r="56" spans="1:9" ht="12">
      <c r="A56" s="5" t="s">
        <v>17</v>
      </c>
      <c r="B56" s="178">
        <v>909.48</v>
      </c>
      <c r="C56" s="178">
        <v>1626.54</v>
      </c>
      <c r="D56" s="8"/>
      <c r="G56" s="9"/>
      <c r="I56" s="9"/>
    </row>
    <row r="57" spans="1:4" ht="12">
      <c r="A57" s="5" t="s">
        <v>18</v>
      </c>
      <c r="B57" s="178">
        <v>658.38</v>
      </c>
      <c r="C57" s="178">
        <v>738.13</v>
      </c>
      <c r="D57" s="10"/>
    </row>
    <row r="58" spans="1:4" ht="12">
      <c r="A58" s="5" t="s">
        <v>19</v>
      </c>
      <c r="B58" s="178">
        <v>877.81</v>
      </c>
      <c r="C58" s="178">
        <v>980.676</v>
      </c>
      <c r="D58" s="10"/>
    </row>
    <row r="59" spans="1:4" ht="12">
      <c r="A59" s="5" t="s">
        <v>20</v>
      </c>
      <c r="B59" s="274">
        <v>348.92</v>
      </c>
      <c r="C59" s="274">
        <v>414.442</v>
      </c>
      <c r="D59" s="10"/>
    </row>
    <row r="60" spans="1:9" ht="12">
      <c r="A60" s="5" t="s">
        <v>21</v>
      </c>
      <c r="B60" s="178">
        <v>460.31</v>
      </c>
      <c r="C60" s="178">
        <v>481.843</v>
      </c>
      <c r="D60" s="10"/>
      <c r="G60" s="9"/>
      <c r="I60" s="9"/>
    </row>
    <row r="61" spans="1:9" ht="12">
      <c r="A61" s="5" t="s">
        <v>22</v>
      </c>
      <c r="B61" s="178">
        <v>12.395</v>
      </c>
      <c r="C61" s="178">
        <v>17.435</v>
      </c>
      <c r="D61" s="10"/>
      <c r="G61" s="9"/>
      <c r="I61" s="9"/>
    </row>
    <row r="62" spans="1:3" ht="12">
      <c r="A62" s="5" t="s">
        <v>23</v>
      </c>
      <c r="B62" s="178">
        <v>53.077</v>
      </c>
      <c r="C62" s="178">
        <v>55.3</v>
      </c>
    </row>
    <row r="63" spans="1:3" ht="12">
      <c r="A63" s="5" t="s">
        <v>24</v>
      </c>
      <c r="B63" s="178">
        <v>3.113</v>
      </c>
      <c r="C63" s="178">
        <v>3.534</v>
      </c>
    </row>
    <row r="64" spans="1:3" ht="12">
      <c r="A64" s="5"/>
      <c r="B64" s="178"/>
      <c r="C64" s="178"/>
    </row>
    <row r="65" spans="1:3" ht="12">
      <c r="A65" s="6" t="s">
        <v>25</v>
      </c>
      <c r="B65" s="178"/>
      <c r="C65" s="178"/>
    </row>
    <row r="66" spans="1:4" ht="12">
      <c r="A66" s="5"/>
      <c r="B66" s="178"/>
      <c r="C66" s="178"/>
      <c r="D66" s="8"/>
    </row>
    <row r="67" spans="1:4" ht="12">
      <c r="A67" s="5" t="s">
        <v>16</v>
      </c>
      <c r="B67" s="178">
        <v>0.369</v>
      </c>
      <c r="C67" s="178">
        <v>3.378</v>
      </c>
      <c r="D67" s="8"/>
    </row>
    <row r="68" spans="1:4" ht="12">
      <c r="A68" s="5" t="s">
        <v>17</v>
      </c>
      <c r="B68" s="178">
        <v>2.511</v>
      </c>
      <c r="C68" s="178">
        <v>28.33</v>
      </c>
      <c r="D68" s="9"/>
    </row>
    <row r="69" spans="1:4" ht="12">
      <c r="A69" s="5" t="s">
        <v>18</v>
      </c>
      <c r="B69" s="280">
        <v>154.63</v>
      </c>
      <c r="C69" s="280">
        <v>155.96</v>
      </c>
      <c r="D69" s="9"/>
    </row>
    <row r="70" spans="1:4" ht="12">
      <c r="A70" s="5" t="s">
        <v>19</v>
      </c>
      <c r="B70" s="50">
        <v>5.668</v>
      </c>
      <c r="C70" s="50">
        <v>7.203</v>
      </c>
      <c r="D70" s="9"/>
    </row>
    <row r="71" spans="1:4" ht="12">
      <c r="A71" s="5" t="s">
        <v>20</v>
      </c>
      <c r="B71" s="33">
        <v>0</v>
      </c>
      <c r="C71" s="33">
        <v>0</v>
      </c>
      <c r="D71" s="9"/>
    </row>
    <row r="72" spans="1:4" ht="12">
      <c r="A72" s="5" t="s">
        <v>21</v>
      </c>
      <c r="B72" s="33">
        <v>4.37</v>
      </c>
      <c r="C72" s="33">
        <v>3.131</v>
      </c>
      <c r="D72" s="9"/>
    </row>
    <row r="73" spans="1:4" ht="12">
      <c r="A73" s="5" t="s">
        <v>22</v>
      </c>
      <c r="B73" s="33">
        <v>1.25</v>
      </c>
      <c r="C73" s="33">
        <v>2.775</v>
      </c>
      <c r="D73" s="281"/>
    </row>
    <row r="74" spans="1:3" ht="12">
      <c r="A74" s="5" t="s">
        <v>23</v>
      </c>
      <c r="B74" s="33">
        <v>0.05</v>
      </c>
      <c r="C74" s="33">
        <v>0.44</v>
      </c>
    </row>
    <row r="75" spans="1:3" ht="12">
      <c r="A75" s="5" t="s">
        <v>24</v>
      </c>
      <c r="B75" s="33">
        <v>0</v>
      </c>
      <c r="C75" s="33">
        <v>0</v>
      </c>
    </row>
    <row r="76" spans="1:3" ht="12">
      <c r="A76" s="5"/>
      <c r="B76" s="33"/>
      <c r="C76" s="33"/>
    </row>
    <row r="77" spans="1:3" ht="12">
      <c r="A77" s="6" t="s">
        <v>136</v>
      </c>
      <c r="B77" s="33"/>
      <c r="C77" s="33"/>
    </row>
    <row r="78" spans="1:3" ht="12">
      <c r="A78" s="5" t="s">
        <v>137</v>
      </c>
      <c r="B78" s="33">
        <v>18.58</v>
      </c>
      <c r="C78" s="33">
        <v>1.452</v>
      </c>
    </row>
    <row r="79" spans="1:3" ht="12">
      <c r="A79" s="5" t="s">
        <v>19</v>
      </c>
      <c r="B79" s="33">
        <v>6.215</v>
      </c>
      <c r="C79" s="33">
        <v>25.59</v>
      </c>
    </row>
    <row r="80" spans="1:3" ht="12.75" thickBot="1">
      <c r="A80" s="5"/>
      <c r="B80" s="33"/>
      <c r="C80" s="33"/>
    </row>
    <row r="81" spans="1:3" ht="12.75" thickBot="1">
      <c r="A81" s="3" t="s">
        <v>80</v>
      </c>
      <c r="B81" s="47">
        <f>B51</f>
        <v>40059</v>
      </c>
      <c r="C81" s="47">
        <f>C51</f>
        <v>40090</v>
      </c>
    </row>
    <row r="82" spans="1:3" ht="12">
      <c r="A82" s="5"/>
      <c r="B82" s="105"/>
      <c r="C82" s="105"/>
    </row>
    <row r="83" spans="1:3" ht="12">
      <c r="A83" s="5" t="s">
        <v>26</v>
      </c>
      <c r="B83" s="103">
        <v>7.1</v>
      </c>
      <c r="C83" s="103">
        <v>7.1</v>
      </c>
    </row>
    <row r="84" spans="1:3" ht="12">
      <c r="A84" s="5" t="s">
        <v>27</v>
      </c>
      <c r="B84" s="103">
        <v>6.5</v>
      </c>
      <c r="C84" s="103">
        <v>6.9</v>
      </c>
    </row>
    <row r="85" spans="1:3" ht="12.75" thickBot="1">
      <c r="A85" s="11" t="s">
        <v>28</v>
      </c>
      <c r="B85" s="52">
        <v>-0.1</v>
      </c>
      <c r="C85" s="52">
        <v>0.4</v>
      </c>
    </row>
    <row r="86" ht="12">
      <c r="A86" s="2" t="s">
        <v>107</v>
      </c>
    </row>
    <row r="87" ht="12">
      <c r="A87" s="2" t="s">
        <v>114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P95"/>
  <sheetViews>
    <sheetView showGridLines="0" zoomScale="80" zoomScaleNormal="80" zoomScaleSheetLayoutView="75" zoomScalePageLayoutView="0" workbookViewId="0" topLeftCell="A1">
      <selection activeCell="P12" sqref="P12"/>
    </sheetView>
  </sheetViews>
  <sheetFormatPr defaultColWidth="9.140625" defaultRowHeight="12"/>
  <cols>
    <col min="1" max="1" width="3.421875" style="0" customWidth="1"/>
  </cols>
  <sheetData>
    <row r="2" spans="4:14" ht="15.75">
      <c r="D2" s="315"/>
      <c r="E2" s="316"/>
      <c r="F2" s="316"/>
      <c r="G2" s="316"/>
      <c r="H2" s="316"/>
      <c r="I2" s="316"/>
      <c r="J2" s="316"/>
      <c r="K2" s="316"/>
      <c r="L2" s="316"/>
      <c r="M2" s="316"/>
      <c r="N2" s="316"/>
    </row>
    <row r="3" spans="2:12" ht="20.25"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</row>
    <row r="4" spans="1:16" ht="20.25">
      <c r="A4" s="14"/>
      <c r="B4" s="317" t="s">
        <v>108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14"/>
      <c r="N4" s="14"/>
      <c r="O4" s="14"/>
      <c r="P4" s="14"/>
    </row>
    <row r="5" spans="1:16" ht="18">
      <c r="A5" s="14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4"/>
      <c r="N5" s="14"/>
      <c r="O5" s="14"/>
      <c r="P5" s="14"/>
    </row>
    <row r="6" spans="1:16" ht="15">
      <c r="A6" s="14"/>
      <c r="M6" s="14"/>
      <c r="N6" s="14"/>
      <c r="O6" s="14"/>
      <c r="P6" s="14"/>
    </row>
    <row r="7" spans="1:16" ht="15.75">
      <c r="A7" s="312"/>
      <c r="B7" s="312"/>
      <c r="C7" s="312"/>
      <c r="D7" s="312"/>
      <c r="E7" s="312"/>
      <c r="F7" s="312"/>
      <c r="G7" s="312"/>
      <c r="H7" s="312"/>
      <c r="I7" s="312"/>
      <c r="J7" s="312"/>
      <c r="K7" s="14"/>
      <c r="L7" s="14"/>
      <c r="M7" s="14"/>
      <c r="N7" s="14"/>
      <c r="O7" s="14"/>
      <c r="P7" s="14"/>
    </row>
    <row r="8" spans="1:16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95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20.25">
      <c r="A30" s="14"/>
      <c r="B30" s="317" t="s">
        <v>167</v>
      </c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14"/>
      <c r="N30" s="14"/>
      <c r="O30" s="14"/>
      <c r="P30" s="14"/>
    </row>
    <row r="31" spans="1:16" ht="15.75">
      <c r="A31" s="14"/>
      <c r="B31" s="128"/>
      <c r="C31" s="101"/>
      <c r="D31" s="9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.75">
      <c r="A32" s="14"/>
      <c r="C32" s="101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>
      <c r="A33" s="14"/>
      <c r="M33" s="14"/>
      <c r="N33" s="14"/>
      <c r="O33" s="14"/>
      <c r="P33" s="14"/>
    </row>
    <row r="34" spans="1:16" ht="15">
      <c r="A34" s="14"/>
      <c r="M34" s="14"/>
      <c r="N34" s="14"/>
      <c r="O34" s="14"/>
      <c r="P34" s="14"/>
    </row>
    <row r="35" spans="13:16" ht="15">
      <c r="M35" s="14"/>
      <c r="N35" s="14"/>
      <c r="O35" s="14"/>
      <c r="P35" s="14"/>
    </row>
    <row r="36" spans="1:16" ht="15">
      <c r="A36" s="14"/>
      <c r="M36" s="14"/>
      <c r="N36" s="14"/>
      <c r="O36" s="14"/>
      <c r="P36" s="14"/>
    </row>
    <row r="37" spans="1:16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>
      <c r="A38" s="14"/>
      <c r="M38" s="14"/>
      <c r="N38" s="14"/>
      <c r="O38" s="14"/>
      <c r="P38" s="14"/>
    </row>
    <row r="39" spans="1:16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5">
      <c r="A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5">
      <c r="A46" s="14"/>
      <c r="B46" s="14"/>
      <c r="N46" s="14"/>
      <c r="O46" s="14"/>
      <c r="P46" s="14"/>
    </row>
    <row r="56" ht="15">
      <c r="B56" s="127" t="s">
        <v>104</v>
      </c>
    </row>
    <row r="66" spans="2:12" ht="20.25">
      <c r="B66" s="313" t="s">
        <v>161</v>
      </c>
      <c r="C66" s="314"/>
      <c r="D66" s="314"/>
      <c r="E66" s="314"/>
      <c r="F66" s="314"/>
      <c r="G66" s="314"/>
      <c r="H66" s="314"/>
      <c r="I66" s="314"/>
      <c r="J66" s="314"/>
      <c r="K66" s="314"/>
      <c r="L66" s="314"/>
    </row>
    <row r="83" ht="11.25">
      <c r="B83" s="283"/>
    </row>
    <row r="95" ht="15">
      <c r="B95" s="127" t="s">
        <v>105</v>
      </c>
    </row>
  </sheetData>
  <sheetProtection/>
  <mergeCells count="6">
    <mergeCell ref="A7:J7"/>
    <mergeCell ref="B66:L66"/>
    <mergeCell ref="D2:N2"/>
    <mergeCell ref="B4:L4"/>
    <mergeCell ref="B3:L3"/>
    <mergeCell ref="B30:L30"/>
  </mergeCells>
  <printOptions horizontalCentered="1"/>
  <pageMargins left="0.17" right="0.6" top="0.42" bottom="0.5" header="0.44" footer="0.5"/>
  <pageSetup fitToHeight="1" fitToWidth="1" horizontalDpi="600" verticalDpi="600" orientation="portrait" paperSize="9" scale="1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CE22"/>
  <sheetViews>
    <sheetView showGridLines="0" zoomScale="90" zoomScaleNormal="90" zoomScaleSheetLayoutView="75" zoomScalePageLayoutView="0" workbookViewId="0" topLeftCell="A1">
      <pane xSplit="59" ySplit="4" topLeftCell="BX5" activePane="bottomRight" state="frozen"/>
      <selection pane="topLeft" activeCell="A1" sqref="A1"/>
      <selection pane="topRight" activeCell="BH1" sqref="BH1"/>
      <selection pane="bottomLeft" activeCell="A5" sqref="A5"/>
      <selection pane="bottomRight" activeCell="CA8" sqref="CA8"/>
    </sheetView>
  </sheetViews>
  <sheetFormatPr defaultColWidth="9.140625" defaultRowHeight="19.5" customHeight="1"/>
  <cols>
    <col min="1" max="1" width="4.7109375" style="31" customWidth="1"/>
    <col min="2" max="2" width="54.421875" style="31" customWidth="1"/>
    <col min="3" max="7" width="9.8515625" style="31" hidden="1" customWidth="1"/>
    <col min="8" max="8" width="11.28125" style="31" hidden="1" customWidth="1"/>
    <col min="9" max="9" width="11.8515625" style="31" hidden="1" customWidth="1"/>
    <col min="10" max="11" width="9.8515625" style="31" hidden="1" customWidth="1"/>
    <col min="12" max="12" width="11.140625" style="31" hidden="1" customWidth="1"/>
    <col min="13" max="13" width="11.421875" style="31" hidden="1" customWidth="1"/>
    <col min="14" max="14" width="11.00390625" style="31" hidden="1" customWidth="1"/>
    <col min="15" max="15" width="10.140625" style="31" hidden="1" customWidth="1"/>
    <col min="16" max="16" width="9.8515625" style="31" hidden="1" customWidth="1"/>
    <col min="17" max="17" width="11.28125" style="31" hidden="1" customWidth="1"/>
    <col min="18" max="18" width="10.7109375" style="31" hidden="1" customWidth="1"/>
    <col min="19" max="19" width="11.00390625" style="31" hidden="1" customWidth="1"/>
    <col min="20" max="20" width="14.7109375" style="31" hidden="1" customWidth="1"/>
    <col min="21" max="21" width="2.00390625" style="31" hidden="1" customWidth="1"/>
    <col min="22" max="22" width="10.421875" style="31" hidden="1" customWidth="1"/>
    <col min="23" max="23" width="9.8515625" style="31" hidden="1" customWidth="1"/>
    <col min="24" max="24" width="9.421875" style="31" hidden="1" customWidth="1"/>
    <col min="25" max="25" width="11.28125" style="31" hidden="1" customWidth="1"/>
    <col min="26" max="26" width="10.421875" style="31" hidden="1" customWidth="1"/>
    <col min="27" max="27" width="10.8515625" style="31" hidden="1" customWidth="1"/>
    <col min="28" max="28" width="11.00390625" style="31" hidden="1" customWidth="1"/>
    <col min="29" max="29" width="11.7109375" style="31" hidden="1" customWidth="1"/>
    <col min="30" max="30" width="9.8515625" style="31" hidden="1" customWidth="1"/>
    <col min="31" max="31" width="10.8515625" style="31" hidden="1" customWidth="1"/>
    <col min="32" max="32" width="11.8515625" style="31" hidden="1" customWidth="1"/>
    <col min="33" max="33" width="12.140625" style="31" hidden="1" customWidth="1"/>
    <col min="34" max="34" width="11.421875" style="31" hidden="1" customWidth="1"/>
    <col min="35" max="35" width="11.140625" style="31" hidden="1" customWidth="1"/>
    <col min="36" max="36" width="10.8515625" style="31" hidden="1" customWidth="1"/>
    <col min="37" max="40" width="10.421875" style="31" hidden="1" customWidth="1"/>
    <col min="41" max="41" width="11.421875" style="31" hidden="1" customWidth="1"/>
    <col min="42" max="44" width="11.00390625" style="31" hidden="1" customWidth="1"/>
    <col min="45" max="48" width="12.7109375" style="31" hidden="1" customWidth="1"/>
    <col min="49" max="49" width="11.421875" style="31" hidden="1" customWidth="1"/>
    <col min="50" max="50" width="10.7109375" style="31" hidden="1" customWidth="1"/>
    <col min="51" max="52" width="11.8515625" style="31" hidden="1" customWidth="1"/>
    <col min="53" max="53" width="11.28125" style="31" hidden="1" customWidth="1"/>
    <col min="54" max="54" width="11.421875" style="31" hidden="1" customWidth="1"/>
    <col min="55" max="55" width="11.7109375" style="31" hidden="1" customWidth="1"/>
    <col min="56" max="56" width="12.140625" style="31" hidden="1" customWidth="1"/>
    <col min="57" max="57" width="11.8515625" style="31" hidden="1" customWidth="1"/>
    <col min="58" max="58" width="12.421875" style="31" hidden="1" customWidth="1"/>
    <col min="59" max="59" width="12.00390625" style="31" hidden="1" customWidth="1"/>
    <col min="60" max="60" width="11.7109375" style="31" hidden="1" customWidth="1"/>
    <col min="61" max="61" width="12.28125" style="31" hidden="1" customWidth="1"/>
    <col min="62" max="62" width="11.8515625" style="31" hidden="1" customWidth="1"/>
    <col min="63" max="63" width="11.7109375" style="31" hidden="1" customWidth="1"/>
    <col min="64" max="64" width="11.8515625" style="31" hidden="1" customWidth="1"/>
    <col min="65" max="65" width="12.140625" style="31" hidden="1" customWidth="1"/>
    <col min="66" max="66" width="11.7109375" style="31" hidden="1" customWidth="1"/>
    <col min="67" max="67" width="12.421875" style="31" hidden="1" customWidth="1"/>
    <col min="68" max="68" width="13.140625" style="31" hidden="1" customWidth="1"/>
    <col min="69" max="69" width="14.140625" style="31" hidden="1" customWidth="1"/>
    <col min="70" max="70" width="13.421875" style="31" hidden="1" customWidth="1"/>
    <col min="71" max="71" width="13.7109375" style="31" customWidth="1"/>
    <col min="72" max="73" width="14.00390625" style="31" customWidth="1"/>
    <col min="74" max="74" width="14.7109375" style="31" customWidth="1"/>
    <col min="75" max="75" width="13.7109375" style="31" bestFit="1" customWidth="1"/>
    <col min="76" max="76" width="15.421875" style="31" customWidth="1"/>
    <col min="77" max="78" width="13.7109375" style="31" customWidth="1"/>
    <col min="79" max="79" width="13.7109375" style="31" bestFit="1" customWidth="1"/>
    <col min="80" max="80" width="13.8515625" style="31" customWidth="1"/>
    <col min="81" max="81" width="14.140625" style="31" customWidth="1"/>
    <col min="82" max="82" width="13.28125" style="31" customWidth="1"/>
    <col min="83" max="83" width="13.00390625" style="31" customWidth="1"/>
    <col min="84" max="16384" width="9.140625" style="31" customWidth="1"/>
  </cols>
  <sheetData>
    <row r="2" spans="1:48" ht="19.5" customHeight="1">
      <c r="A2" s="142"/>
      <c r="B2" s="143" t="s">
        <v>123</v>
      </c>
      <c r="C2" s="144"/>
      <c r="D2" s="144"/>
      <c r="E2" s="144"/>
      <c r="F2" s="145"/>
      <c r="G2" s="146"/>
      <c r="H2" s="145"/>
      <c r="I2" s="146"/>
      <c r="J2" s="146"/>
      <c r="K2" s="145"/>
      <c r="L2" s="145"/>
      <c r="M2" s="146"/>
      <c r="N2" s="146"/>
      <c r="O2" s="147"/>
      <c r="P2" s="146"/>
      <c r="Q2" s="145"/>
      <c r="R2" s="146"/>
      <c r="S2" s="146"/>
      <c r="T2" s="148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</row>
    <row r="3" spans="1:62" ht="19.5" customHeight="1" thickBot="1">
      <c r="A3" s="142"/>
      <c r="B3" s="133"/>
      <c r="C3" s="133"/>
      <c r="D3" s="133"/>
      <c r="E3" s="133"/>
      <c r="F3" s="134"/>
      <c r="G3" s="134"/>
      <c r="H3" s="134"/>
      <c r="I3" s="135"/>
      <c r="J3" s="135"/>
      <c r="K3" s="134"/>
      <c r="L3" s="134"/>
      <c r="M3" s="135"/>
      <c r="N3" s="135"/>
      <c r="O3" s="136"/>
      <c r="P3" s="135"/>
      <c r="Q3" s="134"/>
      <c r="R3" s="135"/>
      <c r="S3" s="135"/>
      <c r="T3" s="1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83" ht="19.5" customHeight="1" thickBot="1">
      <c r="A4" s="142"/>
      <c r="B4" s="170"/>
      <c r="C4" s="131">
        <v>37655</v>
      </c>
      <c r="D4" s="131">
        <v>37681</v>
      </c>
      <c r="E4" s="131">
        <v>37712</v>
      </c>
      <c r="F4" s="131">
        <v>37742</v>
      </c>
      <c r="G4" s="131">
        <v>37773</v>
      </c>
      <c r="H4" s="131">
        <v>37803</v>
      </c>
      <c r="I4" s="131">
        <v>37834</v>
      </c>
      <c r="J4" s="131">
        <v>37865</v>
      </c>
      <c r="K4" s="131">
        <v>37895</v>
      </c>
      <c r="L4" s="131">
        <v>37926</v>
      </c>
      <c r="M4" s="131">
        <v>37956</v>
      </c>
      <c r="N4" s="131">
        <v>37987</v>
      </c>
      <c r="O4" s="132">
        <v>38018</v>
      </c>
      <c r="P4" s="131">
        <v>38047</v>
      </c>
      <c r="Q4" s="131">
        <v>38078</v>
      </c>
      <c r="R4" s="131">
        <v>38108</v>
      </c>
      <c r="S4" s="131">
        <v>38139</v>
      </c>
      <c r="T4" s="131">
        <v>38169</v>
      </c>
      <c r="U4" s="131">
        <v>38200</v>
      </c>
      <c r="V4" s="131">
        <v>38231</v>
      </c>
      <c r="W4" s="131">
        <v>38261</v>
      </c>
      <c r="X4" s="131">
        <v>38292</v>
      </c>
      <c r="Y4" s="131">
        <v>38322</v>
      </c>
      <c r="Z4" s="131">
        <v>38353</v>
      </c>
      <c r="AA4" s="131">
        <v>38384</v>
      </c>
      <c r="AB4" s="131">
        <v>38412</v>
      </c>
      <c r="AC4" s="131">
        <v>38443</v>
      </c>
      <c r="AD4" s="131">
        <v>38473</v>
      </c>
      <c r="AE4" s="131">
        <v>38504</v>
      </c>
      <c r="AF4" s="131">
        <v>38534</v>
      </c>
      <c r="AG4" s="131">
        <v>38565</v>
      </c>
      <c r="AH4" s="131">
        <v>38596</v>
      </c>
      <c r="AI4" s="131">
        <v>38626</v>
      </c>
      <c r="AJ4" s="131">
        <v>38657</v>
      </c>
      <c r="AK4" s="131">
        <v>38687</v>
      </c>
      <c r="AL4" s="131">
        <v>38718</v>
      </c>
      <c r="AM4" s="131">
        <v>38749</v>
      </c>
      <c r="AN4" s="131">
        <v>38777</v>
      </c>
      <c r="AO4" s="131">
        <v>38808</v>
      </c>
      <c r="AP4" s="131">
        <v>38838</v>
      </c>
      <c r="AQ4" s="131">
        <v>38869</v>
      </c>
      <c r="AR4" s="131">
        <v>38929</v>
      </c>
      <c r="AS4" s="131">
        <v>38960</v>
      </c>
      <c r="AT4" s="131">
        <v>38990</v>
      </c>
      <c r="AU4" s="131">
        <v>39021</v>
      </c>
      <c r="AV4" s="131">
        <v>39051</v>
      </c>
      <c r="AW4" s="131">
        <v>39082</v>
      </c>
      <c r="AX4" s="179">
        <v>39113</v>
      </c>
      <c r="AY4" s="179">
        <v>39141</v>
      </c>
      <c r="AZ4" s="179">
        <v>39172</v>
      </c>
      <c r="BA4" s="179">
        <v>39202</v>
      </c>
      <c r="BB4" s="179">
        <v>39233</v>
      </c>
      <c r="BC4" s="179">
        <v>39263</v>
      </c>
      <c r="BD4" s="179">
        <v>39294</v>
      </c>
      <c r="BE4" s="179">
        <v>39325</v>
      </c>
      <c r="BF4" s="179">
        <v>39355</v>
      </c>
      <c r="BG4" s="179">
        <v>39386</v>
      </c>
      <c r="BH4" s="179">
        <v>39416</v>
      </c>
      <c r="BI4" s="179">
        <v>39447</v>
      </c>
      <c r="BJ4" s="179">
        <v>39478</v>
      </c>
      <c r="BK4" s="179">
        <v>39507</v>
      </c>
      <c r="BL4" s="179">
        <v>39538</v>
      </c>
      <c r="BM4" s="179">
        <v>39568</v>
      </c>
      <c r="BN4" s="179">
        <v>39599</v>
      </c>
      <c r="BO4" s="179">
        <v>39629</v>
      </c>
      <c r="BP4" s="179">
        <v>39660</v>
      </c>
      <c r="BQ4" s="179">
        <v>39691</v>
      </c>
      <c r="BR4" s="179">
        <v>39721</v>
      </c>
      <c r="BS4" s="179">
        <v>39752</v>
      </c>
      <c r="BT4" s="179">
        <v>39782</v>
      </c>
      <c r="BU4" s="179">
        <v>39813</v>
      </c>
      <c r="BV4" s="179">
        <v>39844</v>
      </c>
      <c r="BW4" s="179">
        <v>39872</v>
      </c>
      <c r="BX4" s="179">
        <v>39903</v>
      </c>
      <c r="BY4" s="179">
        <v>39933</v>
      </c>
      <c r="BZ4" s="179">
        <v>39964</v>
      </c>
      <c r="CA4" s="179">
        <v>39994</v>
      </c>
      <c r="CB4" s="179">
        <v>40025</v>
      </c>
      <c r="CC4" s="179">
        <v>40056</v>
      </c>
      <c r="CD4" s="179">
        <v>40086</v>
      </c>
      <c r="CE4" s="179">
        <v>40117</v>
      </c>
    </row>
    <row r="5" spans="1:83" ht="19.5" customHeight="1">
      <c r="A5" s="169"/>
      <c r="B5" s="63" t="s">
        <v>82</v>
      </c>
      <c r="C5" s="64"/>
      <c r="D5" s="64"/>
      <c r="E5" s="65"/>
      <c r="F5" s="66"/>
      <c r="G5" s="66"/>
      <c r="H5" s="66"/>
      <c r="I5" s="66"/>
      <c r="J5" s="66"/>
      <c r="K5" s="66"/>
      <c r="L5" s="66"/>
      <c r="M5" s="67"/>
      <c r="N5" s="66"/>
      <c r="O5" s="68"/>
      <c r="P5" s="69"/>
      <c r="Q5" s="66"/>
      <c r="R5" s="69"/>
      <c r="S5" s="69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</row>
    <row r="6" spans="1:83" ht="19.5" customHeight="1">
      <c r="A6" s="142"/>
      <c r="B6" s="63"/>
      <c r="C6" s="64"/>
      <c r="D6" s="64"/>
      <c r="E6" s="65"/>
      <c r="F6" s="66"/>
      <c r="G6" s="66"/>
      <c r="H6" s="66"/>
      <c r="I6" s="66"/>
      <c r="J6" s="66"/>
      <c r="K6" s="66"/>
      <c r="L6" s="66"/>
      <c r="M6" s="67"/>
      <c r="N6" s="66"/>
      <c r="O6" s="68"/>
      <c r="P6" s="69"/>
      <c r="Q6" s="66"/>
      <c r="R6" s="69"/>
      <c r="S6" s="69"/>
      <c r="T6" s="70"/>
      <c r="U6" s="69"/>
      <c r="V6" s="69"/>
      <c r="W6" s="69"/>
      <c r="X6" s="69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</row>
    <row r="7" spans="2:83" ht="19.5" customHeight="1">
      <c r="B7" s="63" t="s">
        <v>111</v>
      </c>
      <c r="C7" s="71">
        <v>2595.44027685</v>
      </c>
      <c r="D7" s="71">
        <v>2187.8368766900003</v>
      </c>
      <c r="E7" s="71">
        <v>2272.4872471500003</v>
      </c>
      <c r="F7" s="72">
        <v>2113.36340838</v>
      </c>
      <c r="G7" s="72">
        <v>2165.8</v>
      </c>
      <c r="H7" s="73">
        <v>2129.6</v>
      </c>
      <c r="I7" s="66">
        <v>1891</v>
      </c>
      <c r="J7" s="72">
        <v>2181.2</v>
      </c>
      <c r="K7" s="72">
        <v>2467.9</v>
      </c>
      <c r="L7" s="72">
        <v>2091</v>
      </c>
      <c r="M7" s="74">
        <v>2110.3</v>
      </c>
      <c r="N7" s="72">
        <v>2710.8702829799995</v>
      </c>
      <c r="O7" s="75">
        <v>1935.4129830699999</v>
      </c>
      <c r="P7" s="76">
        <v>1824.1042653499997</v>
      </c>
      <c r="Q7" s="66">
        <v>2395.6</v>
      </c>
      <c r="R7" s="66">
        <v>1860.4</v>
      </c>
      <c r="S7" s="66">
        <v>1783.2</v>
      </c>
      <c r="T7" s="66">
        <v>1984.6</v>
      </c>
      <c r="U7" s="66">
        <v>1989.9</v>
      </c>
      <c r="V7" s="66">
        <v>1808.2</v>
      </c>
      <c r="W7" s="66">
        <v>2207.6</v>
      </c>
      <c r="X7" s="66">
        <v>1987.9</v>
      </c>
      <c r="Y7" s="66">
        <v>1977.3</v>
      </c>
      <c r="Z7" s="66">
        <v>2327.5</v>
      </c>
      <c r="AA7" s="66">
        <v>2029.5</v>
      </c>
      <c r="AB7" s="66">
        <v>1912.6</v>
      </c>
      <c r="AC7" s="66">
        <v>2303.8</v>
      </c>
      <c r="AD7" s="66">
        <v>2107.1</v>
      </c>
      <c r="AE7" s="66">
        <v>1874.1</v>
      </c>
      <c r="AF7" s="66">
        <v>2354.7</v>
      </c>
      <c r="AG7" s="66">
        <v>2159.1</v>
      </c>
      <c r="AH7" s="66">
        <v>1818.2</v>
      </c>
      <c r="AI7" s="72">
        <v>2245</v>
      </c>
      <c r="AJ7" s="72">
        <v>1902.22246</v>
      </c>
      <c r="AK7" s="72">
        <v>1983.9</v>
      </c>
      <c r="AL7" s="72">
        <v>2705.5</v>
      </c>
      <c r="AM7" s="72">
        <v>2696</v>
      </c>
      <c r="AN7" s="72">
        <v>2458.1</v>
      </c>
      <c r="AO7" s="72">
        <v>3129.7</v>
      </c>
      <c r="AP7" s="72">
        <v>2973</v>
      </c>
      <c r="AQ7" s="72">
        <v>2677.9</v>
      </c>
      <c r="AR7" s="72">
        <v>3313.1</v>
      </c>
      <c r="AS7" s="72">
        <v>2760.7</v>
      </c>
      <c r="AT7" s="72">
        <v>3119.2</v>
      </c>
      <c r="AU7" s="72">
        <v>4104.4</v>
      </c>
      <c r="AV7" s="72">
        <v>3495.2</v>
      </c>
      <c r="AW7" s="72">
        <v>3164.3</v>
      </c>
      <c r="AX7" s="72">
        <v>4865.6</v>
      </c>
      <c r="AY7" s="72">
        <v>4466.4</v>
      </c>
      <c r="AZ7" s="72">
        <v>5690</v>
      </c>
      <c r="BA7" s="72">
        <v>6260.1</v>
      </c>
      <c r="BB7" s="251">
        <v>5643.8</v>
      </c>
      <c r="BC7" s="257">
        <v>6085.3</v>
      </c>
      <c r="BD7" s="257">
        <v>7455.9</v>
      </c>
      <c r="BE7" s="257">
        <v>6359</v>
      </c>
      <c r="BF7" s="257">
        <v>5868.650081049999</v>
      </c>
      <c r="BG7" s="257">
        <v>6499.853570999999</v>
      </c>
      <c r="BH7" s="257">
        <v>6257.02633294</v>
      </c>
      <c r="BI7" s="257">
        <v>6743.949222620002</v>
      </c>
      <c r="BJ7" s="257">
        <v>8497.90853458</v>
      </c>
      <c r="BK7" s="257">
        <v>8656.654479950002</v>
      </c>
      <c r="BL7" s="257">
        <v>8900.78</v>
      </c>
      <c r="BM7" s="257">
        <v>9949.63092274</v>
      </c>
      <c r="BN7" s="257">
        <v>9441.90025126</v>
      </c>
      <c r="BO7" s="257">
        <v>9697.814715469998</v>
      </c>
      <c r="BP7" s="257">
        <v>11758.2039831</v>
      </c>
      <c r="BQ7" s="257">
        <v>10730.849802119998</v>
      </c>
      <c r="BR7" s="257">
        <v>10942.098551590001</v>
      </c>
      <c r="BS7" s="257">
        <v>13805.317071959998</v>
      </c>
      <c r="BT7" s="257">
        <v>12725.77199603</v>
      </c>
      <c r="BU7" s="263">
        <v>12857.52677013</v>
      </c>
      <c r="BV7" s="263">
        <v>14524</v>
      </c>
      <c r="BW7" s="263">
        <v>13779</v>
      </c>
      <c r="BX7" s="263">
        <v>14136.3</v>
      </c>
      <c r="BY7" s="263">
        <v>14561.206</v>
      </c>
      <c r="BZ7" s="263">
        <v>14205.63</v>
      </c>
      <c r="CA7" s="263">
        <v>13206.787</v>
      </c>
      <c r="CB7" s="263">
        <v>13706.835257</v>
      </c>
      <c r="CC7" s="263">
        <v>13840</v>
      </c>
      <c r="CD7" s="263">
        <v>14719.96</v>
      </c>
      <c r="CE7" s="263">
        <v>15834.6</v>
      </c>
    </row>
    <row r="8" spans="2:83" ht="19.5" customHeight="1">
      <c r="B8" s="63" t="s">
        <v>29</v>
      </c>
      <c r="C8" s="77"/>
      <c r="D8" s="77">
        <f>D7-C7</f>
        <v>-407.60340015999964</v>
      </c>
      <c r="E8" s="77">
        <f>E7-D7</f>
        <v>84.65037045999998</v>
      </c>
      <c r="F8" s="77">
        <f>F7-E7</f>
        <v>-159.12383877000048</v>
      </c>
      <c r="G8" s="77">
        <f aca="true" t="shared" si="0" ref="G8:AG8">G7-F7</f>
        <v>52.4365916200004</v>
      </c>
      <c r="H8" s="77">
        <f t="shared" si="0"/>
        <v>-36.20000000000027</v>
      </c>
      <c r="I8" s="77">
        <f t="shared" si="0"/>
        <v>-238.5999999999999</v>
      </c>
      <c r="J8" s="77">
        <f t="shared" si="0"/>
        <v>290.1999999999998</v>
      </c>
      <c r="K8" s="77">
        <f t="shared" si="0"/>
        <v>286.7000000000003</v>
      </c>
      <c r="L8" s="77">
        <f t="shared" si="0"/>
        <v>-376.9000000000001</v>
      </c>
      <c r="M8" s="77">
        <f t="shared" si="0"/>
        <v>19.300000000000182</v>
      </c>
      <c r="N8" s="77">
        <f t="shared" si="0"/>
        <v>600.5702829799993</v>
      </c>
      <c r="O8" s="78">
        <f t="shared" si="0"/>
        <v>-775.4572999099996</v>
      </c>
      <c r="P8" s="73">
        <f t="shared" si="0"/>
        <v>-111.30871772000023</v>
      </c>
      <c r="Q8" s="73">
        <f t="shared" si="0"/>
        <v>571.4957346500003</v>
      </c>
      <c r="R8" s="73">
        <f t="shared" si="0"/>
        <v>-535.1999999999998</v>
      </c>
      <c r="S8" s="73">
        <f t="shared" si="0"/>
        <v>-77.20000000000005</v>
      </c>
      <c r="T8" s="73">
        <f t="shared" si="0"/>
        <v>201.39999999999986</v>
      </c>
      <c r="U8" s="73">
        <f t="shared" si="0"/>
        <v>5.300000000000182</v>
      </c>
      <c r="V8" s="73">
        <f t="shared" si="0"/>
        <v>-181.70000000000005</v>
      </c>
      <c r="W8" s="73">
        <f t="shared" si="0"/>
        <v>399.39999999999986</v>
      </c>
      <c r="X8" s="73">
        <f t="shared" si="0"/>
        <v>-219.69999999999982</v>
      </c>
      <c r="Y8" s="73">
        <f t="shared" si="0"/>
        <v>-10.600000000000136</v>
      </c>
      <c r="Z8" s="73">
        <f t="shared" si="0"/>
        <v>350.20000000000005</v>
      </c>
      <c r="AA8" s="73">
        <f t="shared" si="0"/>
        <v>-298</v>
      </c>
      <c r="AB8" s="73">
        <f t="shared" si="0"/>
        <v>-116.90000000000009</v>
      </c>
      <c r="AC8" s="73">
        <f t="shared" si="0"/>
        <v>391.2000000000003</v>
      </c>
      <c r="AD8" s="73">
        <f t="shared" si="0"/>
        <v>-196.70000000000027</v>
      </c>
      <c r="AE8" s="73">
        <f t="shared" si="0"/>
        <v>-233</v>
      </c>
      <c r="AF8" s="73">
        <f t="shared" si="0"/>
        <v>480.5999999999999</v>
      </c>
      <c r="AG8" s="73">
        <f t="shared" si="0"/>
        <v>-195.5999999999999</v>
      </c>
      <c r="AH8" s="73">
        <f aca="true" t="shared" si="1" ref="AH8:BO8">AH7-AG7</f>
        <v>-340.89999999999986</v>
      </c>
      <c r="AI8" s="73">
        <f t="shared" si="1"/>
        <v>426.79999999999995</v>
      </c>
      <c r="AJ8" s="73">
        <f t="shared" si="1"/>
        <v>-342.77754000000004</v>
      </c>
      <c r="AK8" s="73">
        <f t="shared" si="1"/>
        <v>81.67754000000014</v>
      </c>
      <c r="AL8" s="73">
        <f t="shared" si="1"/>
        <v>721.5999999999999</v>
      </c>
      <c r="AM8" s="73">
        <f t="shared" si="1"/>
        <v>-9.5</v>
      </c>
      <c r="AN8" s="73">
        <f t="shared" si="1"/>
        <v>-237.9000000000001</v>
      </c>
      <c r="AO8" s="73">
        <f t="shared" si="1"/>
        <v>671.5999999999999</v>
      </c>
      <c r="AP8" s="73">
        <f t="shared" si="1"/>
        <v>-156.69999999999982</v>
      </c>
      <c r="AQ8" s="73">
        <f t="shared" si="1"/>
        <v>-295.0999999999999</v>
      </c>
      <c r="AR8" s="73">
        <f t="shared" si="1"/>
        <v>635.1999999999998</v>
      </c>
      <c r="AS8" s="73">
        <f t="shared" si="1"/>
        <v>-552.4000000000001</v>
      </c>
      <c r="AT8" s="73">
        <f t="shared" si="1"/>
        <v>358.5</v>
      </c>
      <c r="AU8" s="73">
        <f t="shared" si="1"/>
        <v>985.1999999999998</v>
      </c>
      <c r="AV8" s="73">
        <f t="shared" si="1"/>
        <v>-609.1999999999998</v>
      </c>
      <c r="AW8" s="73">
        <f t="shared" si="1"/>
        <v>-330.89999999999964</v>
      </c>
      <c r="AX8" s="73">
        <f t="shared" si="1"/>
        <v>1701.3000000000002</v>
      </c>
      <c r="AY8" s="73">
        <f t="shared" si="1"/>
        <v>-399.2000000000007</v>
      </c>
      <c r="AZ8" s="73">
        <f t="shared" si="1"/>
        <v>1223.6000000000004</v>
      </c>
      <c r="BA8" s="73">
        <f t="shared" si="1"/>
        <v>570.1000000000004</v>
      </c>
      <c r="BB8" s="252">
        <f t="shared" si="1"/>
        <v>-616.3000000000002</v>
      </c>
      <c r="BC8" s="258">
        <f t="shared" si="1"/>
        <v>441.5</v>
      </c>
      <c r="BD8" s="258">
        <f t="shared" si="1"/>
        <v>1370.5999999999995</v>
      </c>
      <c r="BE8" s="258">
        <f t="shared" si="1"/>
        <v>-1096.8999999999996</v>
      </c>
      <c r="BF8" s="258">
        <f t="shared" si="1"/>
        <v>-490.34991895000076</v>
      </c>
      <c r="BG8" s="258">
        <f t="shared" si="1"/>
        <v>631.2034899499995</v>
      </c>
      <c r="BH8" s="258">
        <f t="shared" si="1"/>
        <v>-242.8272380599983</v>
      </c>
      <c r="BI8" s="258">
        <f t="shared" si="1"/>
        <v>486.9228896800014</v>
      </c>
      <c r="BJ8" s="258">
        <f t="shared" si="1"/>
        <v>1753.9593119599976</v>
      </c>
      <c r="BK8" s="258">
        <f t="shared" si="1"/>
        <v>158.74594537000303</v>
      </c>
      <c r="BL8" s="258">
        <f t="shared" si="1"/>
        <v>244.12552004999816</v>
      </c>
      <c r="BM8" s="258">
        <f t="shared" si="1"/>
        <v>1048.850922739999</v>
      </c>
      <c r="BN8" s="258">
        <f t="shared" si="1"/>
        <v>-507.7306714799997</v>
      </c>
      <c r="BO8" s="258">
        <f t="shared" si="1"/>
        <v>255.9144642099982</v>
      </c>
      <c r="BP8" s="258">
        <f aca="true" t="shared" si="2" ref="BP8:BZ8">BP7-BO7</f>
        <v>2060.389267630002</v>
      </c>
      <c r="BQ8" s="258">
        <f t="shared" si="2"/>
        <v>-1027.3541809800026</v>
      </c>
      <c r="BR8" s="258">
        <f t="shared" si="2"/>
        <v>211.24874947000353</v>
      </c>
      <c r="BS8" s="258">
        <f t="shared" si="2"/>
        <v>2863.2185203699973</v>
      </c>
      <c r="BT8" s="258">
        <f t="shared" si="2"/>
        <v>-1079.5450759299983</v>
      </c>
      <c r="BU8" s="263">
        <f t="shared" si="2"/>
        <v>131.75477409999985</v>
      </c>
      <c r="BV8" s="263">
        <f t="shared" si="2"/>
        <v>1666.47322987</v>
      </c>
      <c r="BW8" s="268">
        <f t="shared" si="2"/>
        <v>-745</v>
      </c>
      <c r="BX8" s="271">
        <f t="shared" si="2"/>
        <v>357.2999999999993</v>
      </c>
      <c r="BY8" s="271">
        <f t="shared" si="2"/>
        <v>424.90600000000086</v>
      </c>
      <c r="BZ8" s="273">
        <f t="shared" si="2"/>
        <v>-355.57600000000093</v>
      </c>
      <c r="CA8" s="273">
        <v>-998.84</v>
      </c>
      <c r="CB8" s="273">
        <f>CB7-CA7</f>
        <v>500.0482570000004</v>
      </c>
      <c r="CC8" s="273">
        <f>CC7-CB7</f>
        <v>133.16474299999936</v>
      </c>
      <c r="CD8" s="273">
        <f>CD7-CC7</f>
        <v>879.9599999999991</v>
      </c>
      <c r="CE8" s="273">
        <f>CE7-CD7</f>
        <v>1114.6400000000012</v>
      </c>
    </row>
    <row r="9" spans="2:83" ht="19.5" customHeight="1">
      <c r="B9" s="63"/>
      <c r="C9" s="64"/>
      <c r="D9" s="64"/>
      <c r="E9" s="64"/>
      <c r="F9" s="66"/>
      <c r="G9" s="66"/>
      <c r="H9" s="66"/>
      <c r="I9" s="66"/>
      <c r="J9" s="66"/>
      <c r="K9" s="66"/>
      <c r="L9" s="66"/>
      <c r="M9" s="67"/>
      <c r="N9" s="66"/>
      <c r="O9" s="68"/>
      <c r="P9" s="69"/>
      <c r="Q9" s="66"/>
      <c r="R9" s="69"/>
      <c r="S9" s="69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64"/>
      <c r="BV9" s="264"/>
      <c r="BW9" s="263"/>
      <c r="BX9" s="263"/>
      <c r="BY9" s="263"/>
      <c r="BZ9" s="263"/>
      <c r="CA9" s="263"/>
      <c r="CB9" s="263"/>
      <c r="CC9" s="263"/>
      <c r="CD9" s="263"/>
      <c r="CE9" s="263"/>
    </row>
    <row r="10" spans="2:83" ht="19.5" customHeight="1">
      <c r="B10" s="63" t="s">
        <v>42</v>
      </c>
      <c r="C10" s="64"/>
      <c r="D10" s="64"/>
      <c r="E10" s="64"/>
      <c r="F10" s="66"/>
      <c r="G10" s="66"/>
      <c r="H10" s="66"/>
      <c r="I10" s="66"/>
      <c r="J10" s="66"/>
      <c r="K10" s="66"/>
      <c r="L10" s="66"/>
      <c r="M10" s="67"/>
      <c r="N10" s="66"/>
      <c r="O10" s="68"/>
      <c r="P10" s="69"/>
      <c r="Q10" s="66"/>
      <c r="R10" s="69"/>
      <c r="S10" s="69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64"/>
      <c r="BV10" s="264"/>
      <c r="BW10" s="263"/>
      <c r="BX10" s="263"/>
      <c r="BY10" s="263"/>
      <c r="BZ10" s="263"/>
      <c r="CA10" s="263"/>
      <c r="CB10" s="263"/>
      <c r="CC10" s="263"/>
      <c r="CD10" s="263"/>
      <c r="CE10" s="263"/>
    </row>
    <row r="11" spans="2:83" ht="19.5" customHeight="1">
      <c r="B11" s="63"/>
      <c r="C11" s="64"/>
      <c r="D11" s="64"/>
      <c r="E11" s="64"/>
      <c r="F11" s="66"/>
      <c r="G11" s="66"/>
      <c r="H11" s="66"/>
      <c r="I11" s="66"/>
      <c r="J11" s="66"/>
      <c r="K11" s="66"/>
      <c r="L11" s="66"/>
      <c r="M11" s="67"/>
      <c r="N11" s="66"/>
      <c r="O11" s="68"/>
      <c r="P11" s="69"/>
      <c r="Q11" s="66"/>
      <c r="R11" s="69"/>
      <c r="S11" s="69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64"/>
      <c r="BV11" s="264"/>
      <c r="BW11" s="263"/>
      <c r="BX11" s="263"/>
      <c r="BY11" s="263"/>
      <c r="BZ11" s="263"/>
      <c r="CA11" s="263"/>
      <c r="CB11" s="263"/>
      <c r="CC11" s="263"/>
      <c r="CD11" s="263"/>
      <c r="CE11" s="263"/>
    </row>
    <row r="12" spans="2:83" ht="19.5" customHeight="1">
      <c r="B12" s="63" t="s">
        <v>30</v>
      </c>
      <c r="C12" s="64"/>
      <c r="D12" s="64">
        <v>8.0439</v>
      </c>
      <c r="E12" s="64">
        <v>7.7068</v>
      </c>
      <c r="F12" s="79">
        <v>7.6652</v>
      </c>
      <c r="G12" s="79">
        <v>7.9027</v>
      </c>
      <c r="H12" s="79">
        <v>7.5401</v>
      </c>
      <c r="I12" s="66">
        <v>7.3922</v>
      </c>
      <c r="J12" s="66">
        <v>7.3246</v>
      </c>
      <c r="K12" s="66">
        <v>6.9637</v>
      </c>
      <c r="L12" s="66">
        <v>6.7287</v>
      </c>
      <c r="M12" s="67">
        <v>6.5159</v>
      </c>
      <c r="N12" s="66">
        <v>6.9179</v>
      </c>
      <c r="O12" s="67">
        <v>6.7686</v>
      </c>
      <c r="P12" s="66">
        <v>6.6633</v>
      </c>
      <c r="Q12" s="66">
        <v>6.5537</v>
      </c>
      <c r="R12" s="66">
        <v>6.7821</v>
      </c>
      <c r="S12" s="66">
        <v>6.4381</v>
      </c>
      <c r="T12" s="80">
        <v>6.1287</v>
      </c>
      <c r="U12" s="66">
        <v>6.4575</v>
      </c>
      <c r="V12" s="66">
        <v>6.5469</v>
      </c>
      <c r="W12" s="66">
        <v>6.3876</v>
      </c>
      <c r="X12" s="66">
        <v>6.0558</v>
      </c>
      <c r="Y12" s="66">
        <v>5.7323</v>
      </c>
      <c r="Z12" s="66">
        <v>5.9698</v>
      </c>
      <c r="AA12" s="66">
        <v>6.0161</v>
      </c>
      <c r="AB12" s="66">
        <v>6.323</v>
      </c>
      <c r="AC12" s="66">
        <v>6.1521</v>
      </c>
      <c r="AD12" s="66">
        <v>6.3314</v>
      </c>
      <c r="AE12" s="80">
        <v>6.75</v>
      </c>
      <c r="AF12" s="80">
        <v>6.7035</v>
      </c>
      <c r="AG12" s="80">
        <v>6.465</v>
      </c>
      <c r="AH12" s="80">
        <v>6.3578</v>
      </c>
      <c r="AI12" s="80">
        <v>6.5766</v>
      </c>
      <c r="AJ12" s="80">
        <v>6.521</v>
      </c>
      <c r="AK12" s="80">
        <v>6.3591</v>
      </c>
      <c r="AL12" s="80">
        <v>6.0891</v>
      </c>
      <c r="AM12" s="80">
        <v>6.1177</v>
      </c>
      <c r="AN12" s="80">
        <v>6.2544</v>
      </c>
      <c r="AO12" s="80">
        <v>6.072</v>
      </c>
      <c r="AP12" s="80">
        <v>6.3199</v>
      </c>
      <c r="AQ12" s="80">
        <v>6.9549</v>
      </c>
      <c r="AR12" s="80">
        <v>7.0843</v>
      </c>
      <c r="AS12" s="80">
        <v>6.9553</v>
      </c>
      <c r="AT12" s="80">
        <v>7.4098</v>
      </c>
      <c r="AU12" s="80">
        <v>7.6492</v>
      </c>
      <c r="AV12" s="80">
        <v>7.2586</v>
      </c>
      <c r="AW12" s="80">
        <v>7.0406</v>
      </c>
      <c r="AX12" s="80">
        <v>7.1838</v>
      </c>
      <c r="AY12" s="80">
        <v>7.1698</v>
      </c>
      <c r="AZ12" s="80">
        <v>7.3514</v>
      </c>
      <c r="BA12" s="80">
        <v>7.1216</v>
      </c>
      <c r="BB12" s="254">
        <v>7.0187</v>
      </c>
      <c r="BC12" s="254">
        <v>7.1718</v>
      </c>
      <c r="BD12" s="254">
        <v>6.973</v>
      </c>
      <c r="BE12" s="254">
        <v>7.2334</v>
      </c>
      <c r="BF12" s="254">
        <v>7.1282</v>
      </c>
      <c r="BG12" s="254">
        <v>6.7729</v>
      </c>
      <c r="BH12" s="254">
        <v>6.701</v>
      </c>
      <c r="BI12" s="254">
        <v>6.8271</v>
      </c>
      <c r="BJ12" s="254">
        <v>6.9874</v>
      </c>
      <c r="BK12" s="254">
        <v>7.6386</v>
      </c>
      <c r="BL12" s="254">
        <v>7.9799</v>
      </c>
      <c r="BM12" s="254">
        <v>7.7933</v>
      </c>
      <c r="BN12" s="254">
        <v>7.6238</v>
      </c>
      <c r="BO12" s="254">
        <v>7.9188</v>
      </c>
      <c r="BP12" s="254">
        <v>7.6393</v>
      </c>
      <c r="BQ12" s="254">
        <v>7.6578</v>
      </c>
      <c r="BR12" s="254">
        <v>8.0472</v>
      </c>
      <c r="BS12" s="254">
        <v>9.6715</v>
      </c>
      <c r="BT12" s="254">
        <v>10.1177</v>
      </c>
      <c r="BU12" s="265">
        <v>9.9456</v>
      </c>
      <c r="BV12" s="265">
        <v>9.897</v>
      </c>
      <c r="BW12" s="269">
        <v>10.0062</v>
      </c>
      <c r="BX12" s="269">
        <v>9.9932</v>
      </c>
      <c r="BY12" s="269">
        <v>9.018</v>
      </c>
      <c r="BZ12" s="269">
        <v>8.3723</v>
      </c>
      <c r="CA12" s="269">
        <v>8.0518</v>
      </c>
      <c r="CB12" s="269">
        <v>7.9513</v>
      </c>
      <c r="CC12" s="269">
        <v>7.9415</v>
      </c>
      <c r="CD12" s="269">
        <v>7.5235</v>
      </c>
      <c r="CE12" s="269">
        <v>8.5235</v>
      </c>
    </row>
    <row r="13" spans="2:83" ht="19.5" customHeight="1">
      <c r="B13" s="63" t="s">
        <v>31</v>
      </c>
      <c r="C13" s="81"/>
      <c r="D13" s="81">
        <f>1/8.0439</f>
        <v>0.124317806039359</v>
      </c>
      <c r="E13" s="81">
        <f>1/7.7068</f>
        <v>0.12975554056158198</v>
      </c>
      <c r="F13" s="82">
        <f>1/7.6652</f>
        <v>0.13045974012419767</v>
      </c>
      <c r="G13" s="82">
        <f>1/7.9027</f>
        <v>0.12653903096410088</v>
      </c>
      <c r="H13" s="82">
        <f>1/7.5401</f>
        <v>0.1326242357528415</v>
      </c>
      <c r="I13" s="82">
        <f>1/7.3922</f>
        <v>0.13527772516977354</v>
      </c>
      <c r="J13" s="82">
        <f>1/7.3246</f>
        <v>0.1365262266881468</v>
      </c>
      <c r="K13" s="82">
        <f>1/6.9637</f>
        <v>0.14360182087108864</v>
      </c>
      <c r="L13" s="82">
        <f>1/6.7287</f>
        <v>0.14861711771961894</v>
      </c>
      <c r="M13" s="82">
        <f>1/6.5159</f>
        <v>0.15347074080326586</v>
      </c>
      <c r="N13" s="82">
        <f>1/6.9179</f>
        <v>0.14455253761979792</v>
      </c>
      <c r="O13" s="83">
        <f>1/6.7686</f>
        <v>0.14774103950595396</v>
      </c>
      <c r="P13" s="82">
        <f>1/6.6633</f>
        <v>0.1500757882730779</v>
      </c>
      <c r="Q13" s="82">
        <f>1/6.5537</f>
        <v>0.15258556235409004</v>
      </c>
      <c r="R13" s="82">
        <f>1/6.7821</f>
        <v>0.14744695595759427</v>
      </c>
      <c r="S13" s="82">
        <f>1/6.4381</f>
        <v>0.15532532890138395</v>
      </c>
      <c r="T13" s="82">
        <f>1/6.1287</f>
        <v>0.1631667400916997</v>
      </c>
      <c r="U13" s="82">
        <f>1/6.4575</f>
        <v>0.1548586914440573</v>
      </c>
      <c r="V13" s="82">
        <f>1/6.5469</f>
        <v>0.15274404680077594</v>
      </c>
      <c r="W13" s="82">
        <f>1/6.3876</f>
        <v>0.15655332206149414</v>
      </c>
      <c r="X13" s="82">
        <f>1/6.0558</f>
        <v>0.16513094884243207</v>
      </c>
      <c r="Y13" s="82">
        <f>1/5.7323</f>
        <v>0.17445004622926225</v>
      </c>
      <c r="Z13" s="82">
        <f>1/5.9698</f>
        <v>0.1675097993232604</v>
      </c>
      <c r="AA13" s="82">
        <f>1/6.0161</f>
        <v>0.16622064127923405</v>
      </c>
      <c r="AB13" s="82">
        <f>1/6.0101</f>
        <v>0.16638658258598024</v>
      </c>
      <c r="AC13" s="82">
        <f>1/6.1521</f>
        <v>0.16254612246224867</v>
      </c>
      <c r="AD13" s="82">
        <f>1/6.3314</f>
        <v>0.1579429510060966</v>
      </c>
      <c r="AE13" s="82">
        <f>1/6.75</f>
        <v>0.14814814814814814</v>
      </c>
      <c r="AF13" s="82">
        <f>1/6.7035</f>
        <v>0.14917580368464234</v>
      </c>
      <c r="AG13" s="82">
        <f>1/6.465</f>
        <v>0.15467904098994587</v>
      </c>
      <c r="AH13" s="82">
        <f>1/6.3578</f>
        <v>0.1572871118940514</v>
      </c>
      <c r="AI13" s="82">
        <f>1/6.5766</f>
        <v>0.15205425295745523</v>
      </c>
      <c r="AJ13" s="82">
        <f>1/6.521</f>
        <v>0.15335071308081583</v>
      </c>
      <c r="AK13" s="82">
        <f>1/6.3591</f>
        <v>0.157254957462534</v>
      </c>
      <c r="AL13" s="82">
        <f>1/6.0891</f>
        <v>0.1642278826099095</v>
      </c>
      <c r="AM13" s="82">
        <f>1/6.1177</f>
        <v>0.16346012390277392</v>
      </c>
      <c r="AN13" s="82">
        <f>1/6.2544</f>
        <v>0.15988743924277307</v>
      </c>
      <c r="AO13" s="82">
        <f>1/6.072</f>
        <v>0.16469038208168643</v>
      </c>
      <c r="AP13" s="82">
        <f>1/6.3199</f>
        <v>0.15823035174607195</v>
      </c>
      <c r="AQ13" s="82">
        <f>1/6.9549</f>
        <v>0.14378351953299112</v>
      </c>
      <c r="AR13" s="82">
        <f>1/7.0843</f>
        <v>0.14115720678119223</v>
      </c>
      <c r="AS13" s="82">
        <f>1/6.9553</f>
        <v>0.14377525052837403</v>
      </c>
      <c r="AT13" s="82">
        <f>1/7.4098</f>
        <v>0.1349564090798672</v>
      </c>
      <c r="AU13" s="82">
        <f>1/7.6492</f>
        <v>0.13073262563405322</v>
      </c>
      <c r="AV13" s="82">
        <f>1/7.2586</f>
        <v>0.1377676135893974</v>
      </c>
      <c r="AW13" s="82">
        <f>1/7.0406</f>
        <v>0.14203334943044627</v>
      </c>
      <c r="AX13" s="82">
        <f>1/7.1838</f>
        <v>0.13920209359948774</v>
      </c>
      <c r="AY13" s="82">
        <f>1/7.1698</f>
        <v>0.13947390443248067</v>
      </c>
      <c r="AZ13" s="82">
        <f>1/7.3514</f>
        <v>0.13602851157602633</v>
      </c>
      <c r="BA13" s="82">
        <f>1/7.1216</f>
        <v>0.14041788362165805</v>
      </c>
      <c r="BB13" s="255">
        <f>1/7.0187</f>
        <v>0.14247652699217803</v>
      </c>
      <c r="BC13" s="255">
        <f>1/7.1718</f>
        <v>0.13943500934214562</v>
      </c>
      <c r="BD13" s="255">
        <f>1/6.973</f>
        <v>0.1434102968593145</v>
      </c>
      <c r="BE13" s="255">
        <f>1/7.2334</f>
        <v>0.1382475737550806</v>
      </c>
      <c r="BF13" s="255">
        <f>1/7.1282</f>
        <v>0.14028787071069837</v>
      </c>
      <c r="BG13" s="255">
        <f>1/6.7729</f>
        <v>0.14764724121129796</v>
      </c>
      <c r="BH13" s="255">
        <f>1/6.701</f>
        <v>0.14923145799134457</v>
      </c>
      <c r="BI13" s="255">
        <f>1/6.8271</f>
        <v>0.14647507726560327</v>
      </c>
      <c r="BJ13" s="255">
        <f>1/6.9871</f>
        <v>0.1431208942193471</v>
      </c>
      <c r="BK13" s="255">
        <f>1/7.6386</f>
        <v>0.13091404184012775</v>
      </c>
      <c r="BL13" s="255">
        <f>1/7.9799</f>
        <v>0.1253148535695936</v>
      </c>
      <c r="BM13" s="255">
        <f>1/7.7933</f>
        <v>0.1283153477987502</v>
      </c>
      <c r="BN13" s="255">
        <f>1/7.6238</f>
        <v>0.13116818384532647</v>
      </c>
      <c r="BO13" s="255">
        <f>1/7.9188</f>
        <v>0.12628175986260545</v>
      </c>
      <c r="BP13" s="255">
        <f>1/7.6393</f>
        <v>0.13090204599897895</v>
      </c>
      <c r="BQ13" s="255">
        <f>1/7.6578</f>
        <v>0.1305858079343937</v>
      </c>
      <c r="BR13" s="255">
        <f>1/8.0472</f>
        <v>0.12426682572820359</v>
      </c>
      <c r="BS13" s="255">
        <f>1/9.6715</f>
        <v>0.10339657757328233</v>
      </c>
      <c r="BT13" s="255">
        <f>1/10.1177</f>
        <v>0.09883669213358769</v>
      </c>
      <c r="BU13" s="265">
        <f>1/9.9456</f>
        <v>0.10054697554697554</v>
      </c>
      <c r="BV13" s="265">
        <f>1/9.897</f>
        <v>0.1010407194099222</v>
      </c>
      <c r="BW13" s="269">
        <f>1/10.006</f>
        <v>0.09994003597841294</v>
      </c>
      <c r="BX13" s="269">
        <f>1/9.9932</f>
        <v>0.1000680462714646</v>
      </c>
      <c r="BY13" s="269">
        <f>1/9.018</f>
        <v>0.11088933244621867</v>
      </c>
      <c r="BZ13" s="269">
        <f>1/8.3723</f>
        <v>0.11944149158534693</v>
      </c>
      <c r="CA13" s="269">
        <v>0.12419583198787848</v>
      </c>
      <c r="CB13" s="269">
        <f>1/7.9513</f>
        <v>0.12576559807830168</v>
      </c>
      <c r="CC13" s="269">
        <f>1/7.9415</f>
        <v>0.12592079581942958</v>
      </c>
      <c r="CD13" s="269">
        <f>1/7.5235</f>
        <v>0.1329168605037549</v>
      </c>
      <c r="CE13" s="269">
        <f>1/7.5235</f>
        <v>0.1329168605037549</v>
      </c>
    </row>
    <row r="14" spans="2:83" ht="19.5" customHeight="1" hidden="1">
      <c r="B14" s="63" t="s">
        <v>32</v>
      </c>
      <c r="C14" s="64"/>
      <c r="D14" s="64"/>
      <c r="E14" s="64"/>
      <c r="F14" s="79"/>
      <c r="G14" s="79"/>
      <c r="H14" s="79"/>
      <c r="I14" s="66"/>
      <c r="J14" s="66"/>
      <c r="K14" s="66"/>
      <c r="L14" s="66"/>
      <c r="M14" s="67"/>
      <c r="N14" s="66"/>
      <c r="O14" s="68"/>
      <c r="P14" s="69"/>
      <c r="Q14" s="66"/>
      <c r="R14" s="69"/>
      <c r="S14" s="69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65"/>
      <c r="BV14" s="265"/>
      <c r="BW14" s="269"/>
      <c r="BX14" s="269"/>
      <c r="BY14" s="269"/>
      <c r="BZ14" s="269"/>
      <c r="CA14" s="269"/>
      <c r="CB14" s="269"/>
      <c r="CC14" s="269"/>
      <c r="CD14" s="269"/>
      <c r="CE14" s="269"/>
    </row>
    <row r="15" spans="2:83" ht="19.5" customHeight="1">
      <c r="B15" s="63" t="s">
        <v>33</v>
      </c>
      <c r="C15" s="81"/>
      <c r="D15" s="81">
        <f>1/12.7437</f>
        <v>0.07847014603294176</v>
      </c>
      <c r="E15" s="81">
        <f>1/12.124</f>
        <v>0.08248102936324644</v>
      </c>
      <c r="F15" s="82">
        <f>1/12.4393</f>
        <v>0.08039037566422548</v>
      </c>
      <c r="G15" s="82">
        <f>1/13.1219</f>
        <v>0.07620847590669035</v>
      </c>
      <c r="H15" s="82">
        <f>1/12.26</f>
        <v>0.08156606851549755</v>
      </c>
      <c r="I15" s="82">
        <f>1/11.7868</f>
        <v>0.08484066922319884</v>
      </c>
      <c r="J15" s="82">
        <f>1/11.702</f>
        <v>0.08545547769612032</v>
      </c>
      <c r="K15" s="82">
        <f>1/11.6744</f>
        <v>0.08565750702391557</v>
      </c>
      <c r="L15" s="82">
        <f>1/11.3692</f>
        <v>0.08795693628399535</v>
      </c>
      <c r="M15" s="82">
        <f>1/11.3073</f>
        <v>0.08843844242215207</v>
      </c>
      <c r="N15" s="82">
        <f>1/12.5935</f>
        <v>0.07940604279985707</v>
      </c>
      <c r="O15" s="83">
        <f>1/12.6411</f>
        <v>0.07910703973546607</v>
      </c>
      <c r="P15" s="82">
        <f>1/12.1204</f>
        <v>0.08250552787036732</v>
      </c>
      <c r="Q15" s="82">
        <f>1/11.8224</f>
        <v>0.08458519420760591</v>
      </c>
      <c r="R15" s="82">
        <f>1/12.1262</f>
        <v>0.08246606521416437</v>
      </c>
      <c r="S15" s="82">
        <f>1/11.7619</f>
        <v>0.08502027733614466</v>
      </c>
      <c r="T15" s="82">
        <f>1/11.2923</f>
        <v>0.08855591863482197</v>
      </c>
      <c r="U15" s="82">
        <f>1/11.7446</f>
        <v>0.08514551368288405</v>
      </c>
      <c r="V15" s="82">
        <f>1/11.736</f>
        <v>0.08520790729379686</v>
      </c>
      <c r="W15" s="82">
        <f>1/11.5461</f>
        <v>0.08660933128935312</v>
      </c>
      <c r="X15" s="82">
        <f>1/11.2483</f>
        <v>0.08890232301770044</v>
      </c>
      <c r="Y15" s="82">
        <f>1/11.601</f>
        <v>0.0861994655633135</v>
      </c>
      <c r="Z15" s="82">
        <f>1/11.2168</f>
        <v>0.08915198630625491</v>
      </c>
      <c r="AA15" s="82">
        <f>1/11.3535</f>
        <v>0.08807856608094419</v>
      </c>
      <c r="AB15" s="82">
        <f>1/11.8847</f>
        <v>0.08414179575420498</v>
      </c>
      <c r="AC15" s="82">
        <f>1/11.6567</f>
        <v>0.08578757281220242</v>
      </c>
      <c r="AD15" s="82">
        <f>1/11.7446</f>
        <v>0.08514551368288405</v>
      </c>
      <c r="AE15" s="82">
        <f>1/12.282</f>
        <v>0.08141996417521576</v>
      </c>
      <c r="AF15" s="82">
        <f>1/11.7407</f>
        <v>0.08517379713304998</v>
      </c>
      <c r="AG15" s="82">
        <f>1/11.5992</f>
        <v>0.0862128422649838</v>
      </c>
      <c r="AH15" s="82">
        <f>1/11.4978</f>
        <v>0.08697316008279846</v>
      </c>
      <c r="AI15" s="82">
        <f>1/11.5989</f>
        <v>0.08621507211890782</v>
      </c>
      <c r="AJ15" s="82">
        <f>1/11.2213</f>
        <v>0.08911623430440324</v>
      </c>
      <c r="AK15" s="82">
        <f>1/11.1059</f>
        <v>0.0900422298057789</v>
      </c>
      <c r="AL15" s="82">
        <f>1/10.7529</f>
        <v>0.09299816793609166</v>
      </c>
      <c r="AM15" s="82">
        <f>1/10.6948</f>
        <v>0.09350338482253057</v>
      </c>
      <c r="AN15" s="82">
        <f>1/10.907</f>
        <v>0.09168423947923351</v>
      </c>
      <c r="AO15" s="82">
        <f>1/10.7206</f>
        <v>0.09327836128574894</v>
      </c>
      <c r="AP15" s="82">
        <f>1/11.806</f>
        <v>0.08470269354565475</v>
      </c>
      <c r="AQ15" s="82">
        <f>1/12.8291</f>
        <v>0.07794779056987629</v>
      </c>
      <c r="AR15" s="82">
        <f>1/13.0643</f>
        <v>0.07654447616787735</v>
      </c>
      <c r="AS15" s="82">
        <f>1/13.1608</f>
        <v>0.07598322290438271</v>
      </c>
      <c r="AT15" s="82">
        <f>1/13.9706</f>
        <v>0.07157888709146351</v>
      </c>
      <c r="AU15" s="82">
        <f>1/14.3415</f>
        <v>0.069727713279643</v>
      </c>
      <c r="AV15" s="82">
        <f>1/13.8728</f>
        <v>0.07208350152817024</v>
      </c>
      <c r="AW15" s="82">
        <f>1/13.8362</f>
        <v>0.07227417932669375</v>
      </c>
      <c r="AX15" s="82">
        <f>1/14.0828</f>
        <v>0.07100860624307666</v>
      </c>
      <c r="AY15" s="82">
        <f>1/14.0398</f>
        <v>0.07122608584167865</v>
      </c>
      <c r="AZ15" s="82">
        <f>1/14.3044</f>
        <v>0.06990855960403793</v>
      </c>
      <c r="BA15" s="82">
        <f>1/14.1669</f>
        <v>0.07058707268350874</v>
      </c>
      <c r="BB15" s="255">
        <f>1/13.9229</f>
        <v>0.07182411710204052</v>
      </c>
      <c r="BC15" s="255">
        <f>1/14.2416</f>
        <v>0.07021682956971127</v>
      </c>
      <c r="BD15" s="255">
        <f>1/14.1833</f>
        <v>0.07050545359683572</v>
      </c>
      <c r="BE15" s="255">
        <f>1/14.525</f>
        <v>0.06884681583476764</v>
      </c>
      <c r="BF15" s="255">
        <f>1/14.3767</f>
        <v>0.06955699152100274</v>
      </c>
      <c r="BG15" s="255">
        <f>1/13.8408</f>
        <v>0.0722501589503497</v>
      </c>
      <c r="BH15" s="255">
        <f>1/13.8896</f>
        <v>0.07199631378873401</v>
      </c>
      <c r="BI15" s="255">
        <f>1/13.8016</f>
        <v>0.07245536749362393</v>
      </c>
      <c r="BJ15" s="255">
        <f>1/13.7527</f>
        <v>0.0727129945392541</v>
      </c>
      <c r="BK15" s="255">
        <f>1/15.0048</f>
        <v>0.06664534015781617</v>
      </c>
      <c r="BL15" s="255">
        <f>1/15.9805</f>
        <v>0.06257626482275273</v>
      </c>
      <c r="BM15" s="255">
        <f>1/15.4224</f>
        <v>0.06484075111526091</v>
      </c>
      <c r="BN15" s="255">
        <f>1/14.97</f>
        <v>0.0668002672010688</v>
      </c>
      <c r="BO15" s="255">
        <f>1/15.5595</f>
        <v>0.06426941739773129</v>
      </c>
      <c r="BP15" s="255">
        <f>1/15.1886</f>
        <v>0.0658388528238284</v>
      </c>
      <c r="BQ15" s="255">
        <f>1/14.4731</f>
        <v>0.06909369796380872</v>
      </c>
      <c r="BR15" s="255">
        <f>1/14.4452</f>
        <v>0.06922714811840612</v>
      </c>
      <c r="BS15" s="255">
        <f>1/16.3843</f>
        <v>0.06103403868337372</v>
      </c>
      <c r="BT15" s="255">
        <f>1/15.5129</f>
        <v>0.06446247961374083</v>
      </c>
      <c r="BU15" s="265">
        <f>1/14.8107</f>
        <v>0.06751875333373844</v>
      </c>
      <c r="BV15" s="265">
        <f>1/14.2861</f>
        <v>0.06999811005102863</v>
      </c>
      <c r="BW15" s="269">
        <f>1/14.4064</f>
        <v>0.06941359395824079</v>
      </c>
      <c r="BX15" s="269">
        <f>1/14.2015</f>
        <v>0.07041509699679611</v>
      </c>
      <c r="BY15" s="269">
        <f>1/13.2668</f>
        <v>0.07537612687309675</v>
      </c>
      <c r="BZ15" s="269">
        <f>1/12.91</f>
        <v>0.07745933384972889</v>
      </c>
      <c r="CA15" s="269">
        <v>0.07586274911430241</v>
      </c>
      <c r="CB15" s="269">
        <f>1/13.0024</f>
        <v>0.07690887836091799</v>
      </c>
      <c r="CC15" s="269">
        <f>1/13.1249</f>
        <v>0.07619105669376529</v>
      </c>
      <c r="CD15" s="269">
        <f>1/12.2854</f>
        <v>0.08139743109707458</v>
      </c>
      <c r="CE15" s="269">
        <f>1/12.2854</f>
        <v>0.08139743109707458</v>
      </c>
    </row>
    <row r="16" spans="2:83" ht="19.5" customHeight="1">
      <c r="B16" s="63" t="s">
        <v>34</v>
      </c>
      <c r="C16" s="81"/>
      <c r="D16" s="81">
        <f>1/0.0679</f>
        <v>14.727540500736376</v>
      </c>
      <c r="E16" s="81">
        <f>1/0.0642</f>
        <v>15.576323987538942</v>
      </c>
      <c r="F16" s="82">
        <f>1/0.0654</f>
        <v>15.290519877675841</v>
      </c>
      <c r="G16" s="82">
        <f>1/0.0668</f>
        <v>14.970059880239521</v>
      </c>
      <c r="H16" s="82">
        <f>1/0.0636</f>
        <v>15.723270440251572</v>
      </c>
      <c r="I16" s="82">
        <f>1/0.0622</f>
        <v>16.077170418006432</v>
      </c>
      <c r="J16" s="82">
        <f>1/0.0636</f>
        <v>15.723270440251572</v>
      </c>
      <c r="K16" s="82">
        <f>1/0.0636</f>
        <v>15.723270440251572</v>
      </c>
      <c r="L16" s="82">
        <f>1/0.0616</f>
        <v>16.233766233766232</v>
      </c>
      <c r="M16" s="82">
        <f>1/0.0604</f>
        <v>16.556291390728475</v>
      </c>
      <c r="N16" s="82">
        <f>1/0.065</f>
        <v>15.384615384615383</v>
      </c>
      <c r="O16" s="83">
        <f>1/0.0695</f>
        <v>14.388489208633093</v>
      </c>
      <c r="P16" s="82">
        <f>1/0.0611</f>
        <v>16.366612111292962</v>
      </c>
      <c r="Q16" s="82">
        <f>1/0.061</f>
        <v>16.39344262295082</v>
      </c>
      <c r="R16" s="82">
        <f>1/0.0606</f>
        <v>16.5016501650165</v>
      </c>
      <c r="S16" s="82">
        <f>1/0.0588</f>
        <v>17.006802721088437</v>
      </c>
      <c r="T16" s="82">
        <f>1/0.0561</f>
        <v>17.825311942959004</v>
      </c>
      <c r="U16" s="82">
        <f>1/0.0505</f>
        <v>19.801980198019802</v>
      </c>
      <c r="V16" s="82">
        <f>1/0.0595</f>
        <v>16.80672268907563</v>
      </c>
      <c r="W16" s="82">
        <f>1/0.0587</f>
        <v>17.035775127768314</v>
      </c>
      <c r="X16" s="82">
        <f>1/0.0578</f>
        <v>17.301038062283737</v>
      </c>
      <c r="Y16" s="82">
        <f>1/0.052</f>
        <v>19.23076923076923</v>
      </c>
      <c r="Z16" s="82">
        <f>1/0.0578</f>
        <v>17.301038062283737</v>
      </c>
      <c r="AA16" s="82">
        <f>1/0.0574</f>
        <v>17.421602787456447</v>
      </c>
      <c r="AB16" s="82">
        <f>1/0.0572</f>
        <v>17.482517482517483</v>
      </c>
      <c r="AC16" s="82">
        <f>1/0.0572</f>
        <v>17.482517482517483</v>
      </c>
      <c r="AD16" s="82">
        <f>1/0.0594</f>
        <v>16.835016835016834</v>
      </c>
      <c r="AE16" s="82">
        <f>1/0.0621</f>
        <v>16.10305958132045</v>
      </c>
      <c r="AF16" s="82">
        <f>1/0.0599</f>
        <v>16.69449081803005</v>
      </c>
      <c r="AG16" s="82">
        <f>1/0.0585</f>
        <v>17.094017094017094</v>
      </c>
      <c r="AH16" s="82">
        <f>1/0.0573</f>
        <v>17.452006980802793</v>
      </c>
      <c r="AI16" s="82">
        <f>1/0.0573</f>
        <v>17.452006980802793</v>
      </c>
      <c r="AJ16" s="82">
        <f>1/0.0545</f>
        <v>18.34862385321101</v>
      </c>
      <c r="AK16" s="82">
        <f>1/0.0536</f>
        <v>18.65671641791045</v>
      </c>
      <c r="AL16" s="82">
        <f>1/0.0528</f>
        <v>18.93939393939394</v>
      </c>
      <c r="AM16" s="82">
        <f>1/0.0519</f>
        <v>19.267822736030826</v>
      </c>
      <c r="AN16" s="82">
        <f>1/0.0533</f>
        <v>18.76172607879925</v>
      </c>
      <c r="AO16" s="82">
        <f>1/0.0518</f>
        <v>19.305019305019304</v>
      </c>
      <c r="AP16" s="82">
        <f>1/0.0566</f>
        <v>17.6678445229682</v>
      </c>
      <c r="AQ16" s="82">
        <f>1/0.0607</f>
        <v>16.474464579901156</v>
      </c>
      <c r="AR16" s="82">
        <f>1/0.0613</f>
        <v>16.31321370309951</v>
      </c>
      <c r="AS16" s="82">
        <f>1/0.06</f>
        <v>16.666666666666668</v>
      </c>
      <c r="AT16" s="82">
        <f>1/0.0633</f>
        <v>15.797788309636653</v>
      </c>
      <c r="AU16" s="82">
        <f>1/0.0645</f>
        <v>15.503875968992247</v>
      </c>
      <c r="AV16" s="82">
        <f>1/0.0619</f>
        <v>16.155088852988694</v>
      </c>
      <c r="AW16" s="82">
        <f>1/0.0601</f>
        <v>16.638935108153078</v>
      </c>
      <c r="AX16" s="82">
        <f>1/0.0597</f>
        <v>16.75041876046901</v>
      </c>
      <c r="AY16" s="82">
        <f>1/0.0595</f>
        <v>16.80672268907563</v>
      </c>
      <c r="AZ16" s="82">
        <f>1/0.0627</f>
        <v>15.948963317384369</v>
      </c>
      <c r="BA16" s="82">
        <f>1/0.06</f>
        <v>16.666666666666668</v>
      </c>
      <c r="BB16" s="255">
        <f>1/0.0581</f>
        <v>17.21170395869191</v>
      </c>
      <c r="BC16" s="255">
        <f>1/0.0585</f>
        <v>17.094017094017094</v>
      </c>
      <c r="BD16" s="255">
        <f>1/0.0574</f>
        <v>17.421602787456447</v>
      </c>
      <c r="BE16" s="255">
        <f>1/0.062</f>
        <v>16.129032258064516</v>
      </c>
      <c r="BF16" s="255">
        <f>1/0.062</f>
        <v>16.129032258064516</v>
      </c>
      <c r="BG16" s="255">
        <f>1/0.0585</f>
        <v>17.094017094017094</v>
      </c>
      <c r="BH16" s="255">
        <f>1/0.0603</f>
        <v>16.58374792703151</v>
      </c>
      <c r="BI16" s="255">
        <f>1/0.0609</f>
        <v>16.420361247947454</v>
      </c>
      <c r="BJ16" s="255">
        <f>1/0.0647</f>
        <v>15.45595054095827</v>
      </c>
      <c r="BK16" s="255">
        <f>1/0.0713</f>
        <v>14.025245441795231</v>
      </c>
      <c r="BL16" s="255">
        <f>1/0.0791</f>
        <v>12.642225031605562</v>
      </c>
      <c r="BM16" s="255">
        <f>1/0.0761</f>
        <v>13.140604467805518</v>
      </c>
      <c r="BN16" s="255">
        <f>1/0.0732</f>
        <v>13.66120218579235</v>
      </c>
      <c r="BO16" s="255">
        <f>1/0.0742</f>
        <v>13.477088948787062</v>
      </c>
      <c r="BP16" s="255">
        <f>1/0.0716</f>
        <v>13.966480446927374</v>
      </c>
      <c r="BQ16" s="255">
        <f>1/0.0701</f>
        <v>14.265335235378032</v>
      </c>
      <c r="BR16" s="255">
        <f>1/0.0754</f>
        <v>13.262599469496022</v>
      </c>
      <c r="BS16" s="255">
        <f>1/0.0964</f>
        <v>10.37344398340249</v>
      </c>
      <c r="BT16" s="255">
        <f>1/0.1044</f>
        <v>9.578544061302681</v>
      </c>
      <c r="BU16" s="265">
        <f>1/0.1091</f>
        <v>9.165902841429881</v>
      </c>
      <c r="BV16" s="265">
        <f>1/0.1095</f>
        <v>9.132420091324201</v>
      </c>
      <c r="BW16" s="269">
        <f>1/0.1083</f>
        <v>9.233610341643583</v>
      </c>
      <c r="BX16" s="269">
        <f>1/0.1023</f>
        <v>9.775171065493646</v>
      </c>
      <c r="BY16" s="269">
        <f>1/0.0913</f>
        <v>10.952902519167578</v>
      </c>
      <c r="BZ16" s="269">
        <f>1/0.0866</f>
        <v>11.547344110854503</v>
      </c>
      <c r="CA16" s="269">
        <v>11.990407673860911</v>
      </c>
      <c r="CB16" s="269">
        <f>1/0.0841</f>
        <v>11.890606420927469</v>
      </c>
      <c r="CC16" s="269">
        <f>1/0.0838</f>
        <v>11.933174224343675</v>
      </c>
      <c r="CD16" s="269">
        <f>1/0.0823</f>
        <v>12.150668286755772</v>
      </c>
      <c r="CE16" s="269">
        <f>1/0.0823</f>
        <v>12.150668286755772</v>
      </c>
    </row>
    <row r="17" spans="2:83" ht="19.5" customHeight="1" hidden="1">
      <c r="B17" s="63" t="s">
        <v>34</v>
      </c>
      <c r="C17" s="84"/>
      <c r="D17" s="84"/>
      <c r="E17" s="84"/>
      <c r="F17" s="66"/>
      <c r="G17" s="66"/>
      <c r="H17" s="66"/>
      <c r="I17" s="66"/>
      <c r="J17" s="66"/>
      <c r="K17" s="66"/>
      <c r="L17" s="66"/>
      <c r="M17" s="66"/>
      <c r="N17" s="66"/>
      <c r="O17" s="68"/>
      <c r="P17" s="69"/>
      <c r="Q17" s="66"/>
      <c r="R17" s="69"/>
      <c r="S17" s="69"/>
      <c r="T17" s="69"/>
      <c r="U17" s="69"/>
      <c r="V17" s="69"/>
      <c r="W17" s="69"/>
      <c r="X17" s="69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255">
        <f>1/0.0742</f>
        <v>13.477088948787062</v>
      </c>
      <c r="BP17" s="255">
        <f>1/0.0716</f>
        <v>13.966480446927374</v>
      </c>
      <c r="BQ17" s="255">
        <f>1/0.0701</f>
        <v>14.265335235378032</v>
      </c>
      <c r="BR17" s="255">
        <f>1/0.0754</f>
        <v>13.262599469496022</v>
      </c>
      <c r="BS17" s="255">
        <f>1/0.0964</f>
        <v>10.37344398340249</v>
      </c>
      <c r="BT17" s="255">
        <f>1/0.1044</f>
        <v>9.578544061302681</v>
      </c>
      <c r="BU17" s="265">
        <f>1/0.1091</f>
        <v>9.165902841429881</v>
      </c>
      <c r="BV17" s="265">
        <f>1/0.1095</f>
        <v>9.132420091324201</v>
      </c>
      <c r="BW17" s="269">
        <f>1/0.1083</f>
        <v>9.233610341643583</v>
      </c>
      <c r="BX17" s="269">
        <f>1/0.1023</f>
        <v>9.775171065493646</v>
      </c>
      <c r="BY17" s="269">
        <f>1/0.0913</f>
        <v>10.952902519167578</v>
      </c>
      <c r="BZ17" s="269">
        <f>1/0.0866</f>
        <v>11.547344110854503</v>
      </c>
      <c r="CA17" s="269">
        <v>12.9904076738609</v>
      </c>
      <c r="CB17" s="269">
        <f>1/0.0841</f>
        <v>11.890606420927469</v>
      </c>
      <c r="CC17" s="269"/>
      <c r="CD17" s="269"/>
      <c r="CE17" s="269"/>
    </row>
    <row r="18" spans="2:83" ht="19.5" customHeight="1">
      <c r="B18" s="276" t="s">
        <v>162</v>
      </c>
      <c r="C18" s="85"/>
      <c r="D18" s="85"/>
      <c r="E18" s="86"/>
      <c r="F18" s="58"/>
      <c r="G18" s="58"/>
      <c r="H18" s="58"/>
      <c r="I18" s="87"/>
      <c r="J18" s="87"/>
      <c r="K18" s="58"/>
      <c r="L18" s="58"/>
      <c r="M18" s="61"/>
      <c r="N18" s="87"/>
      <c r="O18" s="61"/>
      <c r="P18" s="59"/>
      <c r="Q18" s="58"/>
      <c r="R18" s="59"/>
      <c r="S18" s="59"/>
      <c r="T18" s="62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255"/>
      <c r="BP18" s="255">
        <f>1/12.0494</f>
        <v>0.08299168423323983</v>
      </c>
      <c r="BQ18" s="255">
        <f>1/11.4757</f>
        <v>0.08714065372918428</v>
      </c>
      <c r="BR18" s="255">
        <f>1/11.5514</f>
        <v>0.0865695932960507</v>
      </c>
      <c r="BS18" s="255">
        <f>1/12.9051</f>
        <v>0.07748874475982365</v>
      </c>
      <c r="BT18" s="255">
        <f>1/12.881</f>
        <v>0.07763372408974459</v>
      </c>
      <c r="BU18" s="265">
        <f>1/13.3723</f>
        <v>0.07478145120884216</v>
      </c>
      <c r="BV18" s="265">
        <f>1/13.13</f>
        <v>0.07616146230007616</v>
      </c>
      <c r="BW18" s="269">
        <f>1/12.8058</f>
        <v>0.07808961564291181</v>
      </c>
      <c r="BX18" s="269">
        <f>1/13.0511</f>
        <v>0.07662189393997441</v>
      </c>
      <c r="BY18" s="269">
        <f>1/11.9135</f>
        <v>0.08393838922231082</v>
      </c>
      <c r="BZ18" s="269">
        <f>1/11.4253</f>
        <v>0.08752505404672087</v>
      </c>
      <c r="CA18" s="269">
        <f>1/11.2957</f>
        <v>0.08852926334799968</v>
      </c>
      <c r="CB18" s="269">
        <f>1/11.1974</f>
        <v>0.08930644613928233</v>
      </c>
      <c r="CC18" s="269">
        <f>1/11.3256</f>
        <v>0.08829554284099739</v>
      </c>
      <c r="CD18" s="269">
        <f>1/10.9465</f>
        <v>0.09135340063033846</v>
      </c>
      <c r="CE18" s="269">
        <f>1/10.9465</f>
        <v>0.09135340063033846</v>
      </c>
    </row>
    <row r="19" spans="2:83" ht="19.5" customHeight="1">
      <c r="B19" s="129" t="s">
        <v>36</v>
      </c>
      <c r="C19" s="85"/>
      <c r="D19" s="85"/>
      <c r="E19" s="57"/>
      <c r="F19" s="58"/>
      <c r="G19" s="58"/>
      <c r="H19" s="58"/>
      <c r="I19" s="59"/>
      <c r="J19" s="59"/>
      <c r="K19" s="58"/>
      <c r="L19" s="58"/>
      <c r="M19" s="60"/>
      <c r="N19" s="59"/>
      <c r="O19" s="61"/>
      <c r="P19" s="59"/>
      <c r="Q19" s="58"/>
      <c r="R19" s="59"/>
      <c r="S19" s="59"/>
      <c r="T19" s="62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</row>
    <row r="20" spans="2:83" ht="19.5" customHeight="1" thickBot="1">
      <c r="B20" s="130" t="s">
        <v>35</v>
      </c>
      <c r="C20" s="88"/>
      <c r="D20" s="88"/>
      <c r="E20" s="89"/>
      <c r="F20" s="90"/>
      <c r="G20" s="90"/>
      <c r="H20" s="90"/>
      <c r="I20" s="91"/>
      <c r="J20" s="91"/>
      <c r="K20" s="90"/>
      <c r="L20" s="90"/>
      <c r="M20" s="92"/>
      <c r="N20" s="91"/>
      <c r="O20" s="93"/>
      <c r="P20" s="91"/>
      <c r="Q20" s="90"/>
      <c r="R20" s="91"/>
      <c r="S20" s="91"/>
      <c r="T20" s="94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</row>
    <row r="21" ht="19.5" customHeight="1">
      <c r="B21" s="256" t="s">
        <v>103</v>
      </c>
    </row>
    <row r="22" spans="75:79" ht="19.5" customHeight="1">
      <c r="BW22" s="275"/>
      <c r="BX22" s="275"/>
      <c r="BY22" s="275"/>
      <c r="BZ22" s="275"/>
      <c r="CA22" s="275"/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72"/>
  <sheetViews>
    <sheetView showGridLines="0" zoomScale="70" zoomScaleNormal="70" zoomScaleSheetLayoutView="50" zoomScalePageLayoutView="0" workbookViewId="0" topLeftCell="A1">
      <selection activeCell="G40" sqref="G40"/>
    </sheetView>
  </sheetViews>
  <sheetFormatPr defaultColWidth="9.140625" defaultRowHeight="12"/>
  <cols>
    <col min="11" max="11" width="8.7109375" style="0" customWidth="1"/>
  </cols>
  <sheetData>
    <row r="2" spans="1:15" ht="12.75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15"/>
      <c r="L2" s="15"/>
      <c r="M2" s="15"/>
      <c r="N2" s="15"/>
      <c r="O2" s="15"/>
    </row>
    <row r="3" spans="1:15" ht="13.5" customHeight="1">
      <c r="A3" s="16"/>
      <c r="B3" s="13"/>
      <c r="C3" s="17"/>
      <c r="D3" s="17"/>
      <c r="E3" s="17"/>
      <c r="F3" s="17"/>
      <c r="G3" s="17"/>
      <c r="H3" s="17"/>
      <c r="I3" s="16"/>
      <c r="J3" s="16"/>
      <c r="K3" s="15"/>
      <c r="L3" s="15"/>
      <c r="M3" s="15"/>
      <c r="N3" s="15"/>
      <c r="O3" s="15"/>
    </row>
    <row r="4" spans="1:15" ht="20.25">
      <c r="A4" s="313" t="s">
        <v>166</v>
      </c>
      <c r="B4" s="313"/>
      <c r="C4" s="313"/>
      <c r="D4" s="313"/>
      <c r="E4" s="313"/>
      <c r="F4" s="313"/>
      <c r="G4" s="313"/>
      <c r="H4" s="313"/>
      <c r="I4" s="313"/>
      <c r="J4" s="313"/>
      <c r="K4" s="18"/>
      <c r="L4" s="15"/>
      <c r="M4" s="15"/>
      <c r="N4" s="15"/>
      <c r="O4" s="15"/>
    </row>
    <row r="5" spans="1:15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18"/>
      <c r="L5" s="15"/>
      <c r="M5" s="15"/>
      <c r="N5" s="15"/>
      <c r="O5" s="15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1:15" ht="12.75">
      <c r="K38" s="18"/>
      <c r="L38" s="15"/>
      <c r="M38" s="15"/>
      <c r="N38" s="15"/>
      <c r="O38" s="15"/>
    </row>
    <row r="39" spans="1:15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2.75">
      <c r="A40" s="15"/>
      <c r="L40" s="15"/>
      <c r="M40" s="15"/>
      <c r="N40" s="15"/>
      <c r="O40" s="15"/>
    </row>
    <row r="41" spans="1:15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20.25">
      <c r="A45" s="313" t="s">
        <v>141</v>
      </c>
      <c r="B45" s="313"/>
      <c r="C45" s="313"/>
      <c r="D45" s="313"/>
      <c r="E45" s="313"/>
      <c r="F45" s="313"/>
      <c r="G45" s="313"/>
      <c r="H45" s="313"/>
      <c r="I45" s="313"/>
      <c r="J45" s="313"/>
      <c r="K45" s="15"/>
      <c r="L45" s="15"/>
      <c r="M45" s="15"/>
      <c r="N45" s="15"/>
      <c r="O45" s="15"/>
    </row>
    <row r="46" spans="1:15" ht="12.75">
      <c r="A46" s="15"/>
      <c r="L46" s="15"/>
      <c r="M46" s="15"/>
      <c r="N46" s="15"/>
      <c r="O46" s="15"/>
    </row>
    <row r="47" spans="1:15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15"/>
      <c r="L54" s="15"/>
      <c r="M54" s="15"/>
      <c r="N54" s="15"/>
      <c r="O54" s="15"/>
    </row>
    <row r="55" spans="1:21" ht="20.25">
      <c r="A55" s="15"/>
      <c r="B55" s="15"/>
      <c r="C55" s="213"/>
      <c r="H55" s="15"/>
      <c r="I55" s="15"/>
      <c r="J55" s="15"/>
      <c r="K55" s="15"/>
      <c r="L55" s="15"/>
      <c r="M55" s="15"/>
      <c r="N55" s="15"/>
      <c r="O55" s="15"/>
      <c r="U55" t="s">
        <v>122</v>
      </c>
    </row>
    <row r="56" spans="1:15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20.25">
      <c r="A61" s="15"/>
      <c r="B61" s="15"/>
      <c r="C61" s="15"/>
      <c r="D61" s="213"/>
      <c r="E61" s="213"/>
      <c r="F61" s="213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</sheetData>
  <sheetProtection/>
  <mergeCells count="3">
    <mergeCell ref="A2:J2"/>
    <mergeCell ref="A4:J4"/>
    <mergeCell ref="A45:J45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1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3"/>
  <sheetViews>
    <sheetView zoomScalePageLayoutView="0" workbookViewId="0" topLeftCell="A1">
      <selection activeCell="A21" sqref="A21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2" thickBot="1">
      <c r="B1" t="s">
        <v>122</v>
      </c>
    </row>
    <row r="2" spans="1:11" ht="11.25">
      <c r="A2" s="149"/>
      <c r="B2" s="298" t="s">
        <v>76</v>
      </c>
      <c r="C2" s="299"/>
      <c r="D2" s="299"/>
      <c r="E2" s="299"/>
      <c r="F2" s="299"/>
      <c r="G2" s="299"/>
      <c r="H2" s="299"/>
      <c r="I2" s="299"/>
      <c r="J2" s="299"/>
      <c r="K2" s="300"/>
    </row>
    <row r="3" spans="1:11" ht="11.25">
      <c r="A3" s="149"/>
      <c r="B3" s="304" t="s">
        <v>115</v>
      </c>
      <c r="C3" s="305"/>
      <c r="D3" s="305"/>
      <c r="E3" s="305"/>
      <c r="F3" s="305"/>
      <c r="G3" s="305"/>
      <c r="H3" s="305"/>
      <c r="I3" s="305"/>
      <c r="J3" s="305"/>
      <c r="K3" s="306"/>
    </row>
    <row r="4" spans="1:11" ht="11.25">
      <c r="A4" s="149"/>
      <c r="B4" s="151"/>
      <c r="C4" s="107"/>
      <c r="D4" s="43"/>
      <c r="E4" s="107"/>
      <c r="F4" s="294" t="s">
        <v>110</v>
      </c>
      <c r="G4" s="301"/>
      <c r="H4" s="172" t="s">
        <v>131</v>
      </c>
      <c r="I4" s="294" t="s">
        <v>132</v>
      </c>
      <c r="J4" s="295"/>
      <c r="K4" s="296"/>
    </row>
    <row r="5" spans="1:11" ht="11.25">
      <c r="A5" s="149"/>
      <c r="B5" s="152"/>
      <c r="C5" s="12">
        <v>39722</v>
      </c>
      <c r="D5" s="106">
        <v>40057</v>
      </c>
      <c r="E5" s="106">
        <v>40087</v>
      </c>
      <c r="F5" s="12" t="s">
        <v>163</v>
      </c>
      <c r="G5" s="97" t="s">
        <v>164</v>
      </c>
      <c r="H5" s="97" t="s">
        <v>163</v>
      </c>
      <c r="I5" s="12">
        <v>40026</v>
      </c>
      <c r="J5" s="12">
        <v>40057</v>
      </c>
      <c r="K5" s="12">
        <v>40087</v>
      </c>
    </row>
    <row r="6" spans="1:12" ht="11.25">
      <c r="A6" s="149"/>
      <c r="B6" s="153" t="s">
        <v>54</v>
      </c>
      <c r="C6" s="189">
        <v>14258.827316479998</v>
      </c>
      <c r="D6" s="189">
        <v>15149.337634160001</v>
      </c>
      <c r="E6" s="189">
        <v>16439.488230640003</v>
      </c>
      <c r="F6" s="189">
        <v>1290.1505964800017</v>
      </c>
      <c r="G6" s="189">
        <v>2180.6609141600056</v>
      </c>
      <c r="H6" s="190">
        <v>8.516217854771826</v>
      </c>
      <c r="I6" s="190">
        <v>32.61532648436489</v>
      </c>
      <c r="J6" s="190">
        <v>25.79366588990426</v>
      </c>
      <c r="K6" s="232">
        <v>15.293409940098313</v>
      </c>
      <c r="L6" s="54"/>
    </row>
    <row r="7" spans="1:12" ht="11.25">
      <c r="A7" s="149"/>
      <c r="B7" s="153" t="s">
        <v>147</v>
      </c>
      <c r="C7" s="189">
        <v>13922.597303449998</v>
      </c>
      <c r="D7" s="189">
        <v>15005.169117140002</v>
      </c>
      <c r="E7" s="189">
        <v>16164.357287130002</v>
      </c>
      <c r="F7" s="189">
        <v>1159.1881699900005</v>
      </c>
      <c r="G7" s="189">
        <v>2241.7599836800036</v>
      </c>
      <c r="H7" s="190">
        <v>7.725258948703824</v>
      </c>
      <c r="I7" s="190">
        <v>41.06801640864668</v>
      </c>
      <c r="J7" s="190">
        <v>35.751023068462786</v>
      </c>
      <c r="K7" s="232">
        <v>16.101593221578693</v>
      </c>
      <c r="L7" s="54"/>
    </row>
    <row r="8" spans="1:12" ht="11.25">
      <c r="A8" s="149"/>
      <c r="B8" s="154" t="s">
        <v>55</v>
      </c>
      <c r="C8" s="191">
        <v>7202.505814869999</v>
      </c>
      <c r="D8" s="191">
        <v>13235.88586627</v>
      </c>
      <c r="E8" s="191">
        <v>14260.289899120002</v>
      </c>
      <c r="F8" s="191">
        <v>1024.4040328500014</v>
      </c>
      <c r="G8" s="191">
        <v>7057.784084250003</v>
      </c>
      <c r="H8" s="192">
        <v>7.739595545021788</v>
      </c>
      <c r="I8" s="192">
        <v>216.7074596405317</v>
      </c>
      <c r="J8" s="192">
        <v>174.18052217448565</v>
      </c>
      <c r="K8" s="233">
        <v>97.9906752685821</v>
      </c>
      <c r="L8" s="54"/>
    </row>
    <row r="9" spans="1:12" ht="11.25">
      <c r="A9" s="149"/>
      <c r="B9" s="154" t="s">
        <v>56</v>
      </c>
      <c r="C9" s="191">
        <v>6499.53031919</v>
      </c>
      <c r="D9" s="191">
        <v>3E-08</v>
      </c>
      <c r="E9" s="191">
        <v>1E-08</v>
      </c>
      <c r="F9" s="191">
        <v>-1.9999999999999997E-08</v>
      </c>
      <c r="G9" s="191">
        <v>-6499.53031918</v>
      </c>
      <c r="H9" s="192">
        <v>0</v>
      </c>
      <c r="I9" s="192">
        <v>0</v>
      </c>
      <c r="J9" s="192">
        <v>0</v>
      </c>
      <c r="K9" s="233">
        <v>0</v>
      </c>
      <c r="L9" s="54"/>
    </row>
    <row r="10" spans="1:12" ht="11.25">
      <c r="A10" s="149"/>
      <c r="B10" s="154" t="s">
        <v>57</v>
      </c>
      <c r="C10" s="191">
        <v>220.56116939000003</v>
      </c>
      <c r="D10" s="191">
        <v>1769.2832508400002</v>
      </c>
      <c r="E10" s="191">
        <v>1904.067388</v>
      </c>
      <c r="F10" s="191">
        <v>134.78413715999977</v>
      </c>
      <c r="G10" s="191">
        <v>1683.50621861</v>
      </c>
      <c r="H10" s="192">
        <v>7.618007862562905</v>
      </c>
      <c r="I10" s="192">
        <v>512.8566696992013</v>
      </c>
      <c r="J10" s="192">
        <v>657.03019004344</v>
      </c>
      <c r="K10" s="233">
        <v>763.2831396687036</v>
      </c>
      <c r="L10" s="54"/>
    </row>
    <row r="11" spans="1:12" ht="11.25">
      <c r="A11" s="149"/>
      <c r="B11" s="153" t="s">
        <v>58</v>
      </c>
      <c r="C11" s="189">
        <v>336.23001303</v>
      </c>
      <c r="D11" s="189">
        <v>144.16851701999997</v>
      </c>
      <c r="E11" s="189">
        <v>275.13094351</v>
      </c>
      <c r="F11" s="189">
        <v>130.96242649000004</v>
      </c>
      <c r="G11" s="189">
        <v>-61.09906952</v>
      </c>
      <c r="H11" s="190">
        <v>90.83982355997469</v>
      </c>
      <c r="I11" s="190">
        <v>-92.23019662761543</v>
      </c>
      <c r="J11" s="190">
        <v>-85.43100212097652</v>
      </c>
      <c r="K11" s="232">
        <v>-18.171807141603523</v>
      </c>
      <c r="L11" s="54"/>
    </row>
    <row r="12" spans="1:12" ht="11.25">
      <c r="A12" s="149"/>
      <c r="B12" s="154" t="s">
        <v>98</v>
      </c>
      <c r="C12" s="191">
        <v>312.06026443</v>
      </c>
      <c r="D12" s="191">
        <v>122.50969741999998</v>
      </c>
      <c r="E12" s="191">
        <v>252.95470428000002</v>
      </c>
      <c r="F12" s="191">
        <v>130.44500686000003</v>
      </c>
      <c r="G12" s="191">
        <v>-59.10556015</v>
      </c>
      <c r="H12" s="192">
        <v>106.47729086522469</v>
      </c>
      <c r="I12" s="192">
        <v>-94.95726005128812</v>
      </c>
      <c r="J12" s="192">
        <v>-87.32060014930622</v>
      </c>
      <c r="K12" s="233">
        <v>-18.94043134840011</v>
      </c>
      <c r="L12" s="54"/>
    </row>
    <row r="13" spans="1:12" ht="11.25">
      <c r="A13" s="149"/>
      <c r="B13" s="154" t="s">
        <v>77</v>
      </c>
      <c r="C13" s="191">
        <v>0.03722773</v>
      </c>
      <c r="D13" s="191">
        <v>0.03722773</v>
      </c>
      <c r="E13" s="191">
        <v>0.03722773</v>
      </c>
      <c r="F13" s="191">
        <v>0</v>
      </c>
      <c r="G13" s="191">
        <v>0</v>
      </c>
      <c r="H13" s="192">
        <v>0</v>
      </c>
      <c r="I13" s="192">
        <v>0</v>
      </c>
      <c r="J13" s="192">
        <v>0</v>
      </c>
      <c r="K13" s="233">
        <v>0</v>
      </c>
      <c r="L13" s="54"/>
    </row>
    <row r="14" spans="1:12" ht="11.25">
      <c r="A14" s="149"/>
      <c r="B14" s="154" t="s">
        <v>59</v>
      </c>
      <c r="C14" s="191">
        <v>24.13252087</v>
      </c>
      <c r="D14" s="191">
        <v>21.621591870000003</v>
      </c>
      <c r="E14" s="191">
        <v>22.1390115</v>
      </c>
      <c r="F14" s="191">
        <v>0.5174196299999956</v>
      </c>
      <c r="G14" s="191">
        <v>-1.9935093700000017</v>
      </c>
      <c r="H14" s="192">
        <v>2.393069081642949</v>
      </c>
      <c r="I14" s="192">
        <v>-9.331112168554457</v>
      </c>
      <c r="J14" s="192">
        <v>-7.239651473889763</v>
      </c>
      <c r="K14" s="233">
        <v>-8.260676042668235</v>
      </c>
      <c r="L14" s="54"/>
    </row>
    <row r="15" spans="1:12" ht="11.25">
      <c r="A15" s="149"/>
      <c r="B15" s="155"/>
      <c r="C15" s="189"/>
      <c r="D15" s="189"/>
      <c r="E15" s="189"/>
      <c r="F15" s="189"/>
      <c r="G15" s="189"/>
      <c r="H15" s="190"/>
      <c r="I15" s="190"/>
      <c r="J15" s="190"/>
      <c r="K15" s="232"/>
      <c r="L15" s="54"/>
    </row>
    <row r="16" spans="1:12" ht="11.25">
      <c r="A16" s="149"/>
      <c r="B16" s="153" t="s">
        <v>60</v>
      </c>
      <c r="C16" s="189">
        <v>14258.836464200007</v>
      </c>
      <c r="D16" s="189">
        <v>15149.302633240006</v>
      </c>
      <c r="E16" s="189">
        <v>16439.508949089995</v>
      </c>
      <c r="F16" s="189">
        <v>1290.2063158499896</v>
      </c>
      <c r="G16" s="189">
        <v>2180.6724848899885</v>
      </c>
      <c r="H16" s="190">
        <v>8.516605332175947</v>
      </c>
      <c r="I16" s="190">
        <v>32.61506854136758</v>
      </c>
      <c r="J16" s="190">
        <v>25.793531967517346</v>
      </c>
      <c r="K16" s="232">
        <v>15.293481276435529</v>
      </c>
      <c r="L16" s="54"/>
    </row>
    <row r="17" spans="1:12" ht="11.25">
      <c r="A17" s="149"/>
      <c r="B17" s="153" t="s">
        <v>61</v>
      </c>
      <c r="C17" s="189">
        <v>2717.4883484400048</v>
      </c>
      <c r="D17" s="189">
        <v>3884.148401580008</v>
      </c>
      <c r="E17" s="189">
        <v>3952.5324237400014</v>
      </c>
      <c r="F17" s="189">
        <v>68.38402215999349</v>
      </c>
      <c r="G17" s="189">
        <v>1235.0440752999966</v>
      </c>
      <c r="H17" s="190">
        <v>1.760592415371565</v>
      </c>
      <c r="I17" s="192">
        <v>47.67479450216532</v>
      </c>
      <c r="J17" s="192">
        <v>30.325079222042284</v>
      </c>
      <c r="K17" s="232">
        <v>45.44799892183469</v>
      </c>
      <c r="L17" s="54"/>
    </row>
    <row r="18" spans="1:12" ht="11.25">
      <c r="A18" s="149"/>
      <c r="B18" s="154" t="s">
        <v>62</v>
      </c>
      <c r="C18" s="191">
        <v>1524.66561425</v>
      </c>
      <c r="D18" s="191">
        <v>1548.1404619500001</v>
      </c>
      <c r="E18" s="191">
        <v>1558.2278883</v>
      </c>
      <c r="F18" s="191">
        <v>10.08742634999976</v>
      </c>
      <c r="G18" s="191">
        <v>33.562274049999814</v>
      </c>
      <c r="H18" s="192">
        <v>0.6515834058941836</v>
      </c>
      <c r="I18" s="192">
        <v>14.631615575609036</v>
      </c>
      <c r="J18" s="192">
        <v>5.776740405118064</v>
      </c>
      <c r="K18" s="233">
        <v>2.2012875306110624</v>
      </c>
      <c r="L18" s="54"/>
    </row>
    <row r="19" spans="1:12" ht="11.25">
      <c r="A19" s="149"/>
      <c r="B19" s="154" t="s">
        <v>63</v>
      </c>
      <c r="C19" s="191">
        <v>1192.8227341900047</v>
      </c>
      <c r="D19" s="191">
        <v>2336.007939630008</v>
      </c>
      <c r="E19" s="191">
        <v>2394.3045354400015</v>
      </c>
      <c r="F19" s="191">
        <v>58.296595809993505</v>
      </c>
      <c r="G19" s="191">
        <v>1201.4818012499968</v>
      </c>
      <c r="H19" s="192">
        <v>2.4955649688085777</v>
      </c>
      <c r="I19" s="192">
        <v>84.82669127742682</v>
      </c>
      <c r="J19" s="192">
        <v>54.01289780592726</v>
      </c>
      <c r="K19" s="233">
        <v>100.72593075331282</v>
      </c>
      <c r="L19" s="54"/>
    </row>
    <row r="20" spans="1:12" ht="11.25">
      <c r="A20" s="149"/>
      <c r="B20" s="153" t="s">
        <v>99</v>
      </c>
      <c r="C20" s="189">
        <v>11554.800948200002</v>
      </c>
      <c r="D20" s="189">
        <v>9840.986856349999</v>
      </c>
      <c r="E20" s="189">
        <v>10974.267939009995</v>
      </c>
      <c r="F20" s="189">
        <v>1133.2810826599962</v>
      </c>
      <c r="G20" s="189">
        <v>-580.5330091900069</v>
      </c>
      <c r="H20" s="190">
        <v>11.515929237612333</v>
      </c>
      <c r="I20" s="190">
        <v>14.92255757812444</v>
      </c>
      <c r="J20" s="190">
        <v>8.350429880922029</v>
      </c>
      <c r="K20" s="232">
        <v>-5.0241714400146575</v>
      </c>
      <c r="L20" s="54"/>
    </row>
    <row r="21" spans="1:12" ht="11.25">
      <c r="A21" s="149"/>
      <c r="B21" s="154" t="s">
        <v>148</v>
      </c>
      <c r="C21" s="191">
        <v>8107.73002025</v>
      </c>
      <c r="D21" s="191">
        <v>8002.640919939998</v>
      </c>
      <c r="E21" s="191">
        <v>8685.351634209996</v>
      </c>
      <c r="F21" s="191">
        <v>682.7107142699979</v>
      </c>
      <c r="G21" s="191">
        <v>577.6216139599956</v>
      </c>
      <c r="H21" s="192">
        <v>8.531067695026815</v>
      </c>
      <c r="I21" s="192">
        <v>17.296664973204635</v>
      </c>
      <c r="J21" s="192">
        <v>21.654541217817712</v>
      </c>
      <c r="K21" s="233">
        <v>7.124332119068089</v>
      </c>
      <c r="L21" s="54"/>
    </row>
    <row r="22" spans="1:12" ht="11.25">
      <c r="A22" s="149"/>
      <c r="B22" s="156" t="s">
        <v>64</v>
      </c>
      <c r="C22" s="191">
        <v>3447.0709279500006</v>
      </c>
      <c r="D22" s="191">
        <v>1838.34593641</v>
      </c>
      <c r="E22" s="191">
        <v>2288.9163048</v>
      </c>
      <c r="F22" s="191">
        <v>450.5703683900001</v>
      </c>
      <c r="G22" s="191">
        <v>-1158.1546231500006</v>
      </c>
      <c r="H22" s="192">
        <v>24.509552824964658</v>
      </c>
      <c r="I22" s="192">
        <v>6.458055579092514</v>
      </c>
      <c r="J22" s="192">
        <v>-26.5949396052361</v>
      </c>
      <c r="K22" s="233">
        <v>-33.59822432893088</v>
      </c>
      <c r="L22" s="54"/>
    </row>
    <row r="23" spans="1:12" ht="11.25">
      <c r="A23" s="149"/>
      <c r="B23" s="157" t="s">
        <v>0</v>
      </c>
      <c r="C23" s="191">
        <v>6.980312700000001</v>
      </c>
      <c r="D23" s="191">
        <v>4.46477544</v>
      </c>
      <c r="E23" s="191">
        <v>7.48976665</v>
      </c>
      <c r="F23" s="191">
        <v>3.0249912099999996</v>
      </c>
      <c r="G23" s="191">
        <v>0.5094539499999993</v>
      </c>
      <c r="H23" s="192">
        <v>67.75237076649032</v>
      </c>
      <c r="I23" s="192">
        <v>361.4157815393871</v>
      </c>
      <c r="J23" s="192">
        <v>-37.608913171947954</v>
      </c>
      <c r="K23" s="233">
        <v>7.298440226037428</v>
      </c>
      <c r="L23" s="54"/>
    </row>
    <row r="24" spans="1:12" ht="11.25">
      <c r="A24" s="149"/>
      <c r="B24" s="157" t="s">
        <v>100</v>
      </c>
      <c r="C24" s="191">
        <v>117.28023149000002</v>
      </c>
      <c r="D24" s="191">
        <v>1600.8606466600002</v>
      </c>
      <c r="E24" s="191">
        <v>1686.60754442</v>
      </c>
      <c r="F24" s="191">
        <v>85.74689775999991</v>
      </c>
      <c r="G24" s="191">
        <v>1569.32731293</v>
      </c>
      <c r="H24" s="192">
        <v>5.356299933969913</v>
      </c>
      <c r="I24" s="192">
        <v>1180.9656039156635</v>
      </c>
      <c r="J24" s="192">
        <v>1337.6871384122744</v>
      </c>
      <c r="K24" s="233">
        <v>1338.1004564812868</v>
      </c>
      <c r="L24" s="54"/>
    </row>
    <row r="25" spans="1:12" ht="12" thickBot="1">
      <c r="A25" s="149"/>
      <c r="B25" s="158" t="s">
        <v>93</v>
      </c>
      <c r="C25" s="234">
        <v>-137.71337663000003</v>
      </c>
      <c r="D25" s="234">
        <v>-181.15804679000007</v>
      </c>
      <c r="E25" s="234">
        <v>-181.38872473000006</v>
      </c>
      <c r="F25" s="234">
        <v>-0.23067793999999253</v>
      </c>
      <c r="G25" s="234">
        <v>-43.675348100000036</v>
      </c>
      <c r="H25" s="235">
        <v>0.12733518829963777</v>
      </c>
      <c r="I25" s="235">
        <v>33.397603671561235</v>
      </c>
      <c r="J25" s="235">
        <v>30.871865599075665</v>
      </c>
      <c r="K25" s="236">
        <v>31.714673743963395</v>
      </c>
      <c r="L25" s="54"/>
    </row>
    <row r="26" spans="2:12" ht="12" customHeight="1" hidden="1">
      <c r="B26" s="96" t="s">
        <v>75</v>
      </c>
      <c r="C26" s="193">
        <v>0.015002870000898838</v>
      </c>
      <c r="D26" s="193">
        <v>-0.004130029999942053</v>
      </c>
      <c r="E26" s="193">
        <v>-0.004130029999942053</v>
      </c>
      <c r="F26" s="193">
        <v>0</v>
      </c>
      <c r="G26" s="193">
        <v>-0.01913290000084089</v>
      </c>
      <c r="H26" s="193">
        <v>0</v>
      </c>
      <c r="I26" s="193">
        <v>-0.00017041570643527848</v>
      </c>
      <c r="J26" s="193">
        <v>0.0002579429973152969</v>
      </c>
      <c r="K26" s="194">
        <v>-0.00019296487547748598</v>
      </c>
      <c r="L26" s="54">
        <f>(E26-C26)/C26*100</f>
        <v>-127.52826625635375</v>
      </c>
    </row>
    <row r="27" spans="2:11" ht="11.25"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2:11" ht="11.25">
      <c r="B28" s="44"/>
      <c r="C28" s="45"/>
      <c r="D28" s="45"/>
      <c r="E28" s="45"/>
      <c r="F28" s="45"/>
      <c r="G28" s="45"/>
      <c r="H28" s="45"/>
      <c r="I28" s="45"/>
      <c r="J28" s="45"/>
      <c r="K28" s="46"/>
    </row>
    <row r="29" spans="2:11" ht="12" thickBot="1"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0" spans="1:12" ht="11.25">
      <c r="A30" s="149"/>
      <c r="B30" s="298" t="s">
        <v>76</v>
      </c>
      <c r="C30" s="299"/>
      <c r="D30" s="299"/>
      <c r="E30" s="299"/>
      <c r="F30" s="299"/>
      <c r="G30" s="299"/>
      <c r="H30" s="299"/>
      <c r="I30" s="299"/>
      <c r="J30" s="299"/>
      <c r="K30" s="300"/>
      <c r="L30" s="149"/>
    </row>
    <row r="31" spans="1:12" ht="11.25">
      <c r="A31" s="149"/>
      <c r="B31" s="304" t="s">
        <v>116</v>
      </c>
      <c r="C31" s="305"/>
      <c r="D31" s="305"/>
      <c r="E31" s="305"/>
      <c r="F31" s="305"/>
      <c r="G31" s="305"/>
      <c r="H31" s="305"/>
      <c r="I31" s="305"/>
      <c r="J31" s="305"/>
      <c r="K31" s="306"/>
      <c r="L31" s="149"/>
    </row>
    <row r="32" spans="1:12" ht="11.25">
      <c r="A32" s="149"/>
      <c r="B32" s="151"/>
      <c r="C32" s="107"/>
      <c r="D32" s="43"/>
      <c r="E32" s="107"/>
      <c r="F32" s="294" t="s">
        <v>110</v>
      </c>
      <c r="G32" s="301"/>
      <c r="H32" s="172" t="s">
        <v>131</v>
      </c>
      <c r="I32" s="294" t="s">
        <v>132</v>
      </c>
      <c r="J32" s="295"/>
      <c r="K32" s="296"/>
      <c r="L32" s="149"/>
    </row>
    <row r="33" spans="1:12" ht="11.25">
      <c r="A33" s="149"/>
      <c r="B33" s="152"/>
      <c r="C33" s="12">
        <f>C5</f>
        <v>39722</v>
      </c>
      <c r="D33" s="106">
        <f>D5</f>
        <v>40057</v>
      </c>
      <c r="E33" s="12">
        <f>E5</f>
        <v>40087</v>
      </c>
      <c r="F33" s="12" t="s">
        <v>113</v>
      </c>
      <c r="G33" s="97" t="s">
        <v>112</v>
      </c>
      <c r="H33" s="97" t="s">
        <v>133</v>
      </c>
      <c r="I33" s="12">
        <f>I5</f>
        <v>40026</v>
      </c>
      <c r="J33" s="12">
        <f>J5</f>
        <v>40057</v>
      </c>
      <c r="K33" s="220">
        <f>K5</f>
        <v>40087</v>
      </c>
      <c r="L33" s="149"/>
    </row>
    <row r="34" spans="1:12" ht="11.25">
      <c r="A34" s="149"/>
      <c r="B34" s="159" t="s">
        <v>54</v>
      </c>
      <c r="C34" s="204">
        <v>45505.03738111663</v>
      </c>
      <c r="D34" s="204">
        <v>48715.532742069074</v>
      </c>
      <c r="E34" s="204">
        <v>50855.2469765832</v>
      </c>
      <c r="F34" s="204">
        <v>2139.7142345141256</v>
      </c>
      <c r="G34" s="204">
        <v>5350.209595466571</v>
      </c>
      <c r="H34" s="205">
        <v>4.392262824760903</v>
      </c>
      <c r="I34" s="205">
        <v>11.305325691623192</v>
      </c>
      <c r="J34" s="205">
        <v>8.735873211129519</v>
      </c>
      <c r="K34" s="237">
        <v>11.757507509544896</v>
      </c>
      <c r="L34" s="149"/>
    </row>
    <row r="35" spans="1:13" ht="11.25">
      <c r="A35" s="149"/>
      <c r="B35" s="159" t="s">
        <v>147</v>
      </c>
      <c r="C35" s="204">
        <v>3620.792591246625</v>
      </c>
      <c r="D35" s="204">
        <v>2451.398956844473</v>
      </c>
      <c r="E35" s="204">
        <v>4314.509126102804</v>
      </c>
      <c r="F35" s="204">
        <v>1863.1101692583306</v>
      </c>
      <c r="G35" s="204">
        <v>693.7165348561789</v>
      </c>
      <c r="H35" s="205">
        <v>76.00191572474974</v>
      </c>
      <c r="I35" s="205">
        <v>46.11031940978738</v>
      </c>
      <c r="J35" s="205">
        <v>-3.2505493183338063</v>
      </c>
      <c r="K35" s="237">
        <v>19.15924531367139</v>
      </c>
      <c r="L35" s="149"/>
      <c r="M35" s="282"/>
    </row>
    <row r="36" spans="1:12" ht="11.25">
      <c r="A36" s="149"/>
      <c r="B36" s="160" t="s">
        <v>65</v>
      </c>
      <c r="C36" s="206">
        <v>360.89318537</v>
      </c>
      <c r="D36" s="206">
        <v>150.2849994194941</v>
      </c>
      <c r="E36" s="206">
        <v>207.1002765826</v>
      </c>
      <c r="F36" s="206">
        <v>56.81527716310589</v>
      </c>
      <c r="G36" s="206">
        <v>-153.79290878740002</v>
      </c>
      <c r="H36" s="207">
        <v>37.805022046489185</v>
      </c>
      <c r="I36" s="207">
        <v>-27.42213026986098</v>
      </c>
      <c r="J36" s="207">
        <v>-56.77653829480238</v>
      </c>
      <c r="K36" s="238">
        <v>-42.614522806720856</v>
      </c>
      <c r="L36" s="149"/>
    </row>
    <row r="37" spans="1:12" ht="11.25">
      <c r="A37" s="149"/>
      <c r="B37" s="160" t="s">
        <v>55</v>
      </c>
      <c r="C37" s="206">
        <v>2855.876515464844</v>
      </c>
      <c r="D37" s="206">
        <v>2035.7368357036094</v>
      </c>
      <c r="E37" s="206">
        <v>3836.2877828065057</v>
      </c>
      <c r="F37" s="206">
        <v>1800.5509471028963</v>
      </c>
      <c r="G37" s="206">
        <v>980.4112673416616</v>
      </c>
      <c r="H37" s="207">
        <v>88.44713695425047</v>
      </c>
      <c r="I37" s="207">
        <v>82.60216208508864</v>
      </c>
      <c r="J37" s="207">
        <v>11.56760756218851</v>
      </c>
      <c r="K37" s="238">
        <v>34.3296099124959</v>
      </c>
      <c r="L37" s="149"/>
    </row>
    <row r="38" spans="1:12" ht="11.25">
      <c r="A38" s="149"/>
      <c r="B38" s="160" t="s">
        <v>66</v>
      </c>
      <c r="C38" s="206">
        <v>66.90599999999999</v>
      </c>
      <c r="D38" s="206">
        <v>96.811</v>
      </c>
      <c r="E38" s="206">
        <v>100.08999999999999</v>
      </c>
      <c r="F38" s="206">
        <v>3.278999999999982</v>
      </c>
      <c r="G38" s="206">
        <v>33.184</v>
      </c>
      <c r="H38" s="207">
        <v>3.3870118065095727</v>
      </c>
      <c r="I38" s="207">
        <v>48.168761613725785</v>
      </c>
      <c r="J38" s="207">
        <v>46.39276587379592</v>
      </c>
      <c r="K38" s="238">
        <v>49.59794338325412</v>
      </c>
      <c r="L38" s="149"/>
    </row>
    <row r="39" spans="1:12" ht="11.25">
      <c r="A39" s="149"/>
      <c r="B39" s="160" t="s">
        <v>67</v>
      </c>
      <c r="C39" s="206">
        <v>337.1168904117809</v>
      </c>
      <c r="D39" s="206">
        <v>168.5661217213698</v>
      </c>
      <c r="E39" s="206">
        <v>171.03106671369864</v>
      </c>
      <c r="F39" s="206">
        <v>2.4649449923288387</v>
      </c>
      <c r="G39" s="206">
        <v>-166.08582369808227</v>
      </c>
      <c r="H39" s="207">
        <v>1.4623015390976677</v>
      </c>
      <c r="I39" s="207">
        <v>-72.51356170881212</v>
      </c>
      <c r="J39" s="207">
        <v>-42.91107602585893</v>
      </c>
      <c r="K39" s="238">
        <v>-49.2665388243265</v>
      </c>
      <c r="L39" s="149"/>
    </row>
    <row r="40" spans="1:14" ht="11.25">
      <c r="A40" s="149"/>
      <c r="B40" s="159" t="s">
        <v>58</v>
      </c>
      <c r="C40" s="204">
        <v>39892.470688760004</v>
      </c>
      <c r="D40" s="204">
        <v>43783.80785381531</v>
      </c>
      <c r="E40" s="204">
        <v>43950.5792800942</v>
      </c>
      <c r="F40" s="204">
        <v>166.7714262788868</v>
      </c>
      <c r="G40" s="204">
        <v>4058.108591334196</v>
      </c>
      <c r="H40" s="205">
        <v>0.3808974925974931</v>
      </c>
      <c r="I40" s="205">
        <v>9.222159221504578</v>
      </c>
      <c r="J40" s="205">
        <v>9.171611087337862</v>
      </c>
      <c r="K40" s="237">
        <v>10.17261784308987</v>
      </c>
      <c r="L40" s="284"/>
      <c r="M40" s="284"/>
      <c r="N40" s="284"/>
    </row>
    <row r="41" spans="1:12" ht="11.25">
      <c r="A41" s="149"/>
      <c r="B41" s="160" t="s">
        <v>78</v>
      </c>
      <c r="C41" s="206">
        <v>1621.77674252</v>
      </c>
      <c r="D41" s="206">
        <v>2812.013580757004</v>
      </c>
      <c r="E41" s="206">
        <v>2503.6462212108936</v>
      </c>
      <c r="F41" s="206">
        <v>-308.3673595461105</v>
      </c>
      <c r="G41" s="206">
        <v>881.8694786908936</v>
      </c>
      <c r="H41" s="207">
        <v>-10.966069355294398</v>
      </c>
      <c r="I41" s="207">
        <v>60.33181527935157</v>
      </c>
      <c r="J41" s="207">
        <v>56.79934278791614</v>
      </c>
      <c r="K41" s="238">
        <v>54.37674962094965</v>
      </c>
      <c r="L41" s="149"/>
    </row>
    <row r="42" spans="1:12" ht="11.25">
      <c r="A42" s="149"/>
      <c r="B42" s="160" t="s">
        <v>77</v>
      </c>
      <c r="C42" s="206">
        <v>2762.40483101</v>
      </c>
      <c r="D42" s="206">
        <v>1907.0676989733058</v>
      </c>
      <c r="E42" s="206">
        <v>2354.7723681533053</v>
      </c>
      <c r="F42" s="206">
        <v>447.7046691799994</v>
      </c>
      <c r="G42" s="206">
        <v>-407.63246285669493</v>
      </c>
      <c r="H42" s="207">
        <v>23.476076356441197</v>
      </c>
      <c r="I42" s="207">
        <v>-29.599507247597533</v>
      </c>
      <c r="J42" s="207">
        <v>-33.04970752540041</v>
      </c>
      <c r="K42" s="238">
        <v>-14.756434621049186</v>
      </c>
      <c r="L42" s="149"/>
    </row>
    <row r="43" spans="1:12" ht="11.25">
      <c r="A43" s="149"/>
      <c r="B43" s="160" t="s">
        <v>48</v>
      </c>
      <c r="C43" s="206">
        <v>2634.9635329599996</v>
      </c>
      <c r="D43" s="206">
        <v>3104.3530959600002</v>
      </c>
      <c r="E43" s="206">
        <v>2864.77439322</v>
      </c>
      <c r="F43" s="206">
        <v>-239.57870274000015</v>
      </c>
      <c r="G43" s="206">
        <v>229.81086026000048</v>
      </c>
      <c r="H43" s="207">
        <v>-7.717508135649501</v>
      </c>
      <c r="I43" s="207">
        <v>3.5627771024558275</v>
      </c>
      <c r="J43" s="207">
        <v>2.491679684680004</v>
      </c>
      <c r="K43" s="238">
        <v>8.721595475055445</v>
      </c>
      <c r="L43" s="149"/>
    </row>
    <row r="44" spans="1:12" ht="11.25">
      <c r="A44" s="149"/>
      <c r="B44" s="160" t="s">
        <v>79</v>
      </c>
      <c r="C44" s="206">
        <v>89.68171382</v>
      </c>
      <c r="D44" s="206">
        <v>82.02467143000001</v>
      </c>
      <c r="E44" s="206">
        <v>93.66979751000001</v>
      </c>
      <c r="F44" s="206">
        <v>11.645126079999997</v>
      </c>
      <c r="G44" s="206">
        <v>3.9880836900000105</v>
      </c>
      <c r="H44" s="207">
        <v>14.197101770700742</v>
      </c>
      <c r="I44" s="207">
        <v>60.53834156350166</v>
      </c>
      <c r="J44" s="207">
        <v>21.994988705698137</v>
      </c>
      <c r="K44" s="238">
        <v>4.446930728826715</v>
      </c>
      <c r="L44" s="149"/>
    </row>
    <row r="45" spans="1:12" ht="11.25">
      <c r="A45" s="149"/>
      <c r="B45" s="160" t="s">
        <v>143</v>
      </c>
      <c r="C45" s="206">
        <v>484.97809409</v>
      </c>
      <c r="D45" s="206">
        <v>559.8669139900001</v>
      </c>
      <c r="E45" s="206">
        <v>586.34514551</v>
      </c>
      <c r="F45" s="206">
        <v>26.478231519999895</v>
      </c>
      <c r="G45" s="206">
        <v>101.36705141999994</v>
      </c>
      <c r="H45" s="207">
        <v>4.7293795826043095</v>
      </c>
      <c r="I45" s="207">
        <v>55.87414203680729</v>
      </c>
      <c r="J45" s="207">
        <v>23.299283882099186</v>
      </c>
      <c r="K45" s="238">
        <v>20.90136702157701</v>
      </c>
      <c r="L45" s="149"/>
    </row>
    <row r="46" spans="1:12" ht="11.25">
      <c r="A46" s="149"/>
      <c r="B46" s="160" t="s">
        <v>149</v>
      </c>
      <c r="C46" s="206">
        <v>10978.490238930002</v>
      </c>
      <c r="D46" s="206">
        <v>12465.92667734</v>
      </c>
      <c r="E46" s="206">
        <v>12675.70917272</v>
      </c>
      <c r="F46" s="206">
        <v>209.7824953800009</v>
      </c>
      <c r="G46" s="206">
        <v>1697.2189337899981</v>
      </c>
      <c r="H46" s="207">
        <v>1.6828471786324084</v>
      </c>
      <c r="I46" s="207">
        <v>13.474473699735888</v>
      </c>
      <c r="J46" s="207">
        <v>14.66552973358044</v>
      </c>
      <c r="K46" s="238">
        <v>15.459493034585181</v>
      </c>
      <c r="L46" s="149"/>
    </row>
    <row r="47" spans="1:12" ht="11.25">
      <c r="A47" s="149"/>
      <c r="B47" s="160" t="s">
        <v>49</v>
      </c>
      <c r="C47" s="206">
        <v>21320.17553543</v>
      </c>
      <c r="D47" s="206">
        <v>22852.555215365006</v>
      </c>
      <c r="E47" s="206">
        <v>22871.66218177</v>
      </c>
      <c r="F47" s="206">
        <v>19.106966404993727</v>
      </c>
      <c r="G47" s="206">
        <v>1551.4866463399994</v>
      </c>
      <c r="H47" s="207">
        <v>0.08360975928042866</v>
      </c>
      <c r="I47" s="207">
        <v>8.121090522853457</v>
      </c>
      <c r="J47" s="207">
        <v>8.605123612187949</v>
      </c>
      <c r="K47" s="238">
        <v>7.277081953484532</v>
      </c>
      <c r="L47" s="149"/>
    </row>
    <row r="48" spans="1:12" ht="11.25">
      <c r="A48" s="149"/>
      <c r="B48" s="161" t="s">
        <v>150</v>
      </c>
      <c r="C48" s="204">
        <v>1991.77410111</v>
      </c>
      <c r="D48" s="204">
        <v>2480.325931409286</v>
      </c>
      <c r="E48" s="204">
        <v>2590.15857038619</v>
      </c>
      <c r="F48" s="204">
        <v>109.83263897690404</v>
      </c>
      <c r="G48" s="204">
        <v>598.3844692761902</v>
      </c>
      <c r="H48" s="205">
        <v>4.428153477172199</v>
      </c>
      <c r="I48" s="205">
        <v>18.165745548765532</v>
      </c>
      <c r="J48" s="205">
        <v>14.71275253989508</v>
      </c>
      <c r="K48" s="237">
        <v>30.089894809723063</v>
      </c>
      <c r="L48" s="149"/>
    </row>
    <row r="49" spans="1:12" ht="11.25">
      <c r="A49" s="149"/>
      <c r="B49" s="162"/>
      <c r="C49" s="204"/>
      <c r="D49" s="204"/>
      <c r="E49" s="204"/>
      <c r="F49" s="204"/>
      <c r="G49" s="206"/>
      <c r="H49" s="207"/>
      <c r="I49" s="207"/>
      <c r="J49" s="207"/>
      <c r="K49" s="238"/>
      <c r="L49" s="149"/>
    </row>
    <row r="50" spans="1:12" ht="11.25">
      <c r="A50" s="149"/>
      <c r="B50" s="159" t="s">
        <v>60</v>
      </c>
      <c r="C50" s="204">
        <v>45505.03592580756</v>
      </c>
      <c r="D50" s="204">
        <v>48715.541616103816</v>
      </c>
      <c r="E50" s="204">
        <v>50855.2556269619</v>
      </c>
      <c r="F50" s="204">
        <v>2139.714010858086</v>
      </c>
      <c r="G50" s="204">
        <v>5350.219701154339</v>
      </c>
      <c r="H50" s="205">
        <v>4.39226156555912</v>
      </c>
      <c r="I50" s="205">
        <v>11.30528521908567</v>
      </c>
      <c r="J50" s="205">
        <v>8.736111548856918</v>
      </c>
      <c r="K50" s="237">
        <v>11.757423309977067</v>
      </c>
      <c r="L50" s="149"/>
    </row>
    <row r="51" spans="1:12" ht="11.25">
      <c r="A51" s="149"/>
      <c r="B51" s="163" t="s">
        <v>68</v>
      </c>
      <c r="C51" s="204">
        <v>908.1192336737087</v>
      </c>
      <c r="D51" s="204">
        <v>1195.5331427</v>
      </c>
      <c r="E51" s="204">
        <v>826.410348569225</v>
      </c>
      <c r="F51" s="204">
        <v>-369.1227941307751</v>
      </c>
      <c r="G51" s="204">
        <v>-81.70888510448367</v>
      </c>
      <c r="H51" s="205">
        <v>-30.875161963067434</v>
      </c>
      <c r="I51" s="205">
        <v>-9.906290173736787</v>
      </c>
      <c r="J51" s="205">
        <v>33.25268093906637</v>
      </c>
      <c r="K51" s="237">
        <v>-8.997594376890161</v>
      </c>
      <c r="L51" s="149"/>
    </row>
    <row r="52" spans="1:12" ht="11.25">
      <c r="A52" s="149"/>
      <c r="B52" s="160" t="s">
        <v>55</v>
      </c>
      <c r="C52" s="206">
        <v>245.70423519</v>
      </c>
      <c r="D52" s="206">
        <v>626.1355504</v>
      </c>
      <c r="E52" s="206">
        <v>323.18853512000004</v>
      </c>
      <c r="F52" s="206">
        <v>-302.94701528</v>
      </c>
      <c r="G52" s="206">
        <v>77.48429993000005</v>
      </c>
      <c r="H52" s="207">
        <v>-48.38361519106614</v>
      </c>
      <c r="I52" s="207">
        <v>-2.8166538907354877</v>
      </c>
      <c r="J52" s="207">
        <v>166.24782157986223</v>
      </c>
      <c r="K52" s="238">
        <v>31.535598020963064</v>
      </c>
      <c r="L52" s="149"/>
    </row>
    <row r="53" spans="1:12" ht="11.25">
      <c r="A53" s="149"/>
      <c r="B53" s="160" t="s">
        <v>151</v>
      </c>
      <c r="C53" s="206">
        <v>442.24792972999995</v>
      </c>
      <c r="D53" s="206">
        <v>569.3997498499999</v>
      </c>
      <c r="E53" s="206">
        <v>491.09050382</v>
      </c>
      <c r="F53" s="206">
        <v>-78.30924602999994</v>
      </c>
      <c r="G53" s="206">
        <v>48.84257409000003</v>
      </c>
      <c r="H53" s="207">
        <v>-13.752947037758512</v>
      </c>
      <c r="I53" s="207">
        <v>29.2351269346546</v>
      </c>
      <c r="J53" s="207">
        <v>29.588049418060216</v>
      </c>
      <c r="K53" s="238">
        <v>11.044161160871745</v>
      </c>
      <c r="L53" s="149"/>
    </row>
    <row r="54" spans="1:12" ht="11.25">
      <c r="A54" s="149"/>
      <c r="B54" s="160" t="s">
        <v>66</v>
      </c>
      <c r="C54" s="206">
        <v>220.16706875370866</v>
      </c>
      <c r="D54" s="206">
        <v>-0.0021575500000000003</v>
      </c>
      <c r="E54" s="206">
        <v>12.131309629225068</v>
      </c>
      <c r="F54" s="206">
        <v>12.133467179225068</v>
      </c>
      <c r="G54" s="206">
        <v>-208.0357591244836</v>
      </c>
      <c r="H54" s="207">
        <v>-562372.4678095556</v>
      </c>
      <c r="I54" s="207">
        <v>-100.00096911837943</v>
      </c>
      <c r="J54" s="207">
        <v>-100.00096911837943</v>
      </c>
      <c r="K54" s="238">
        <v>-94.48995269914965</v>
      </c>
      <c r="L54" s="149"/>
    </row>
    <row r="55" spans="1:12" ht="11.25">
      <c r="A55" s="149"/>
      <c r="B55" s="160" t="s">
        <v>69</v>
      </c>
      <c r="C55" s="206">
        <v>0</v>
      </c>
      <c r="D55" s="206">
        <v>0</v>
      </c>
      <c r="E55" s="206">
        <v>0</v>
      </c>
      <c r="F55" s="206">
        <v>0</v>
      </c>
      <c r="G55" s="206">
        <v>0</v>
      </c>
      <c r="H55" s="207">
        <v>0</v>
      </c>
      <c r="I55" s="207">
        <v>0</v>
      </c>
      <c r="J55" s="207">
        <v>0</v>
      </c>
      <c r="K55" s="238">
        <v>0</v>
      </c>
      <c r="L55" s="149"/>
    </row>
    <row r="56" spans="1:12" ht="11.25">
      <c r="A56" s="149"/>
      <c r="B56" s="159" t="s">
        <v>70</v>
      </c>
      <c r="C56" s="204">
        <v>44596.916692133855</v>
      </c>
      <c r="D56" s="204">
        <v>47520.00847340382</v>
      </c>
      <c r="E56" s="204">
        <v>50028.84527839268</v>
      </c>
      <c r="F56" s="204">
        <v>2508.8368049888595</v>
      </c>
      <c r="G56" s="204">
        <v>5431.928586258822</v>
      </c>
      <c r="H56" s="205">
        <v>5.279537789630266</v>
      </c>
      <c r="I56" s="205">
        <v>11.823339321996574</v>
      </c>
      <c r="J56" s="205">
        <v>8.2351123553154</v>
      </c>
      <c r="K56" s="237">
        <v>12.180054113958327</v>
      </c>
      <c r="L56" s="149"/>
    </row>
    <row r="57" spans="1:12" ht="11.25">
      <c r="A57" s="149"/>
      <c r="B57" s="160" t="s">
        <v>71</v>
      </c>
      <c r="C57" s="206">
        <v>27937.757102665208</v>
      </c>
      <c r="D57" s="206">
        <v>28274.0786071069</v>
      </c>
      <c r="E57" s="206">
        <v>29442.707348414056</v>
      </c>
      <c r="F57" s="206">
        <v>1168.628741307155</v>
      </c>
      <c r="G57" s="206">
        <v>1504.9502457488488</v>
      </c>
      <c r="H57" s="207">
        <v>4.133216001646863</v>
      </c>
      <c r="I57" s="207">
        <v>6.141240186342456</v>
      </c>
      <c r="J57" s="207">
        <v>1.3083548562441871</v>
      </c>
      <c r="K57" s="238">
        <v>5.386796943714844</v>
      </c>
      <c r="L57" s="149"/>
    </row>
    <row r="58" spans="1:12" ht="11.25">
      <c r="A58" s="149"/>
      <c r="B58" s="164" t="s">
        <v>72</v>
      </c>
      <c r="C58" s="206">
        <v>16394.431309225205</v>
      </c>
      <c r="D58" s="206">
        <v>18408.994743692383</v>
      </c>
      <c r="E58" s="206">
        <v>19549.522150234196</v>
      </c>
      <c r="F58" s="206">
        <v>1140.5274065418125</v>
      </c>
      <c r="G58" s="206">
        <v>3155.0908410089905</v>
      </c>
      <c r="H58" s="207">
        <v>6.195489881013739</v>
      </c>
      <c r="I58" s="207">
        <v>5.946625185237253</v>
      </c>
      <c r="J58" s="207">
        <v>2.40306333619007</v>
      </c>
      <c r="K58" s="238">
        <v>19.244893473271073</v>
      </c>
      <c r="L58" s="149"/>
    </row>
    <row r="59" spans="1:12" ht="11.25">
      <c r="A59" s="149"/>
      <c r="B59" s="164" t="s">
        <v>69</v>
      </c>
      <c r="C59" s="206">
        <v>11543.32579344</v>
      </c>
      <c r="D59" s="206">
        <v>9865.08386341452</v>
      </c>
      <c r="E59" s="206">
        <v>9893.185198179863</v>
      </c>
      <c r="F59" s="206">
        <v>28.10133476534247</v>
      </c>
      <c r="G59" s="206">
        <v>-1650.140595260138</v>
      </c>
      <c r="H59" s="207">
        <v>0.28485652179358145</v>
      </c>
      <c r="I59" s="207">
        <v>6.51091647260269</v>
      </c>
      <c r="J59" s="207">
        <v>-0.6730889289135455</v>
      </c>
      <c r="K59" s="238">
        <v>-14.295192085784347</v>
      </c>
      <c r="L59" s="149"/>
    </row>
    <row r="60" spans="1:12" ht="11.25">
      <c r="A60" s="149"/>
      <c r="B60" s="160" t="s">
        <v>152</v>
      </c>
      <c r="C60" s="206">
        <v>1022.5662869299999</v>
      </c>
      <c r="D60" s="206">
        <v>1049.35325411</v>
      </c>
      <c r="E60" s="206">
        <v>1047.25603353</v>
      </c>
      <c r="F60" s="206">
        <v>-2.097220580000112</v>
      </c>
      <c r="G60" s="206">
        <v>24.689746600000035</v>
      </c>
      <c r="H60" s="207">
        <v>-0.19985839580579104</v>
      </c>
      <c r="I60" s="207">
        <v>42.717419858289205</v>
      </c>
      <c r="J60" s="207">
        <v>14.92668825776211</v>
      </c>
      <c r="K60" s="238">
        <v>2.4144886170778035</v>
      </c>
      <c r="L60" s="149"/>
    </row>
    <row r="61" spans="1:12" ht="11.25">
      <c r="A61" s="149"/>
      <c r="B61" s="160" t="s">
        <v>120</v>
      </c>
      <c r="C61" s="206">
        <v>3.9309011150360655</v>
      </c>
      <c r="D61" s="206">
        <v>3.9465783504657534</v>
      </c>
      <c r="E61" s="206">
        <v>3.9375824199999996</v>
      </c>
      <c r="F61" s="206">
        <v>-0.008995930465753865</v>
      </c>
      <c r="G61" s="206">
        <v>0.006681304963934043</v>
      </c>
      <c r="H61" s="207">
        <v>-0.22794252810645999</v>
      </c>
      <c r="I61" s="207">
        <v>0.7272252820022418</v>
      </c>
      <c r="J61" s="207">
        <v>0.575616187339345</v>
      </c>
      <c r="K61" s="238">
        <v>0.16996878752246758</v>
      </c>
      <c r="L61" s="149"/>
    </row>
    <row r="62" spans="1:12" ht="11.25">
      <c r="A62" s="149"/>
      <c r="B62" s="160" t="s">
        <v>121</v>
      </c>
      <c r="C62" s="206">
        <v>6633.91941554</v>
      </c>
      <c r="D62" s="206">
        <v>8347.961290526711</v>
      </c>
      <c r="E62" s="206">
        <v>9286.17659973233</v>
      </c>
      <c r="F62" s="206">
        <v>938.2153092056178</v>
      </c>
      <c r="G62" s="206">
        <v>2652.257184192329</v>
      </c>
      <c r="H62" s="207">
        <v>11.238855530754641</v>
      </c>
      <c r="I62" s="207">
        <v>35.916467200783295</v>
      </c>
      <c r="J62" s="207">
        <v>36.06450512565553</v>
      </c>
      <c r="K62" s="238">
        <v>39.98024422755873</v>
      </c>
      <c r="L62" s="149"/>
    </row>
    <row r="63" spans="1:12" ht="11.25">
      <c r="A63" s="149"/>
      <c r="B63" s="160" t="s">
        <v>94</v>
      </c>
      <c r="C63" s="206">
        <v>490.8389664251192</v>
      </c>
      <c r="D63" s="206">
        <v>1147.3536741919734</v>
      </c>
      <c r="E63" s="206">
        <v>1179.88069118</v>
      </c>
      <c r="F63" s="206">
        <v>32.52701698802662</v>
      </c>
      <c r="G63" s="206">
        <v>689.0417247548808</v>
      </c>
      <c r="H63" s="207">
        <v>2.83495993604011</v>
      </c>
      <c r="I63" s="207">
        <v>148.99765318747117</v>
      </c>
      <c r="J63" s="207">
        <v>107.34500846398501</v>
      </c>
      <c r="K63" s="238">
        <v>140.38040414217986</v>
      </c>
      <c r="L63" s="149"/>
    </row>
    <row r="64" spans="1:12" ht="11.25">
      <c r="A64" s="149"/>
      <c r="B64" s="160" t="s">
        <v>95</v>
      </c>
      <c r="C64" s="206">
        <v>415.61670709000003</v>
      </c>
      <c r="D64" s="206">
        <v>119.41470069</v>
      </c>
      <c r="E64" s="206">
        <v>250.05895207</v>
      </c>
      <c r="F64" s="206">
        <v>130.64425138000001</v>
      </c>
      <c r="G64" s="206">
        <v>-165.55775502000003</v>
      </c>
      <c r="H64" s="207">
        <v>109.40382601565268</v>
      </c>
      <c r="I64" s="207">
        <v>-95.37925601433145</v>
      </c>
      <c r="J64" s="207">
        <v>-82.8169417689123</v>
      </c>
      <c r="K64" s="238">
        <v>-39.834239624094124</v>
      </c>
      <c r="L64" s="149"/>
    </row>
    <row r="65" spans="1:12" ht="11.25">
      <c r="A65" s="149"/>
      <c r="B65" s="160" t="s">
        <v>66</v>
      </c>
      <c r="C65" s="206">
        <v>6.86151209</v>
      </c>
      <c r="D65" s="206">
        <v>6.7096031</v>
      </c>
      <c r="E65" s="206">
        <v>6.7096031</v>
      </c>
      <c r="F65" s="206">
        <v>0</v>
      </c>
      <c r="G65" s="206">
        <v>-0.1519089899999999</v>
      </c>
      <c r="H65" s="207">
        <v>0</v>
      </c>
      <c r="I65" s="207">
        <v>-2.213928766829587</v>
      </c>
      <c r="J65" s="207">
        <v>-2.213928766829587</v>
      </c>
      <c r="K65" s="238">
        <v>-2.213928766829587</v>
      </c>
      <c r="L65" s="149"/>
    </row>
    <row r="66" spans="1:12" ht="11.25">
      <c r="A66" s="149"/>
      <c r="B66" s="160" t="s">
        <v>153</v>
      </c>
      <c r="C66" s="206">
        <v>0</v>
      </c>
      <c r="D66" s="206">
        <v>0</v>
      </c>
      <c r="E66" s="206">
        <v>0</v>
      </c>
      <c r="F66" s="206">
        <v>0</v>
      </c>
      <c r="G66" s="206">
        <v>0</v>
      </c>
      <c r="H66" s="207">
        <v>0</v>
      </c>
      <c r="I66" s="207">
        <v>0</v>
      </c>
      <c r="J66" s="207">
        <v>0</v>
      </c>
      <c r="K66" s="238">
        <v>0</v>
      </c>
      <c r="L66" s="149"/>
    </row>
    <row r="67" spans="1:12" ht="11.25">
      <c r="A67" s="149"/>
      <c r="B67" s="160" t="s">
        <v>154</v>
      </c>
      <c r="C67" s="206">
        <v>5618.910794902501</v>
      </c>
      <c r="D67" s="206">
        <v>6360.795314233478</v>
      </c>
      <c r="E67" s="206">
        <v>6481.432700421655</v>
      </c>
      <c r="F67" s="206">
        <v>120.6373861881766</v>
      </c>
      <c r="G67" s="206">
        <v>862.5219055191537</v>
      </c>
      <c r="H67" s="207">
        <v>1.8965770824008081</v>
      </c>
      <c r="I67" s="207">
        <v>15.366439632765228</v>
      </c>
      <c r="J67" s="207">
        <v>16.56097924175539</v>
      </c>
      <c r="K67" s="238">
        <v>15.35033989686465</v>
      </c>
      <c r="L67" s="149"/>
    </row>
    <row r="68" spans="1:12" ht="11.25">
      <c r="A68" s="149"/>
      <c r="B68" s="160" t="s">
        <v>96</v>
      </c>
      <c r="C68" s="206">
        <v>2493.5197846975</v>
      </c>
      <c r="D68" s="206">
        <v>2361.2158081592197</v>
      </c>
      <c r="E68" s="206">
        <v>2560.4924039586163</v>
      </c>
      <c r="F68" s="206">
        <v>199.27659579939655</v>
      </c>
      <c r="G68" s="206">
        <v>66.97261926111605</v>
      </c>
      <c r="H68" s="207">
        <v>8.439575709716706</v>
      </c>
      <c r="I68" s="207">
        <v>9.333410980990763</v>
      </c>
      <c r="J68" s="207">
        <v>5.979749443505589</v>
      </c>
      <c r="K68" s="238">
        <v>2.6858667684179105</v>
      </c>
      <c r="L68" s="149"/>
    </row>
    <row r="69" spans="1:12" ht="11.25" customHeight="1" hidden="1">
      <c r="A69" s="149"/>
      <c r="B69" s="160" t="s">
        <v>97</v>
      </c>
      <c r="C69" s="206">
        <v>3.000726481232835</v>
      </c>
      <c r="D69" s="206">
        <v>-206.30267899191793</v>
      </c>
      <c r="E69" s="206">
        <v>-150.82035706493141</v>
      </c>
      <c r="F69" s="206">
        <v>55.482321926986515</v>
      </c>
      <c r="G69" s="206">
        <v>206.30267899191793</v>
      </c>
      <c r="H69" s="207">
        <v>-26.893650726251632</v>
      </c>
      <c r="I69" s="207">
        <v>-3151.6172972901586</v>
      </c>
      <c r="J69" s="207">
        <v>-7421.718502148966</v>
      </c>
      <c r="K69" s="238">
        <v>-5126.128106250042</v>
      </c>
      <c r="L69" s="149"/>
    </row>
    <row r="70" spans="1:12" ht="12" customHeight="1" hidden="1">
      <c r="A70" s="149"/>
      <c r="B70" s="160" t="s">
        <v>97</v>
      </c>
      <c r="C70" s="195"/>
      <c r="D70" s="195"/>
      <c r="E70" s="195"/>
      <c r="F70" s="195"/>
      <c r="G70" s="195"/>
      <c r="H70" s="195"/>
      <c r="I70" s="195"/>
      <c r="J70" s="195"/>
      <c r="K70" s="239"/>
      <c r="L70" s="149"/>
    </row>
    <row r="71" spans="1:12" ht="12" customHeight="1" hidden="1" thickBot="1">
      <c r="A71" s="149"/>
      <c r="B71" s="165"/>
      <c r="C71" s="196">
        <v>0.00013145635602995753</v>
      </c>
      <c r="D71" s="196">
        <v>0.008757877389143687</v>
      </c>
      <c r="E71" s="196">
        <v>0.00887403474189341</v>
      </c>
      <c r="F71" s="196">
        <v>0.00011615735274972394</v>
      </c>
      <c r="G71" s="196">
        <v>0.008742578385863453</v>
      </c>
      <c r="H71" s="196">
        <v>1.781263881395212E-07</v>
      </c>
      <c r="I71" s="196">
        <v>0.011949487736750974</v>
      </c>
      <c r="J71" s="196">
        <v>-4.047253752226254E-05</v>
      </c>
      <c r="K71" s="240">
        <v>0.00023833772739934034</v>
      </c>
      <c r="L71" s="149"/>
    </row>
    <row r="72" spans="1:12" ht="12" customHeight="1" hidden="1">
      <c r="A72" s="149"/>
      <c r="B72" s="165"/>
      <c r="C72" s="56"/>
      <c r="D72" s="56"/>
      <c r="E72" s="56"/>
      <c r="F72" s="56"/>
      <c r="G72" s="38"/>
      <c r="H72" s="38"/>
      <c r="I72" s="38"/>
      <c r="J72" s="38"/>
      <c r="K72" s="112"/>
      <c r="L72" s="149"/>
    </row>
    <row r="73" spans="1:12" ht="12" customHeight="1" thickBot="1">
      <c r="A73" s="149"/>
      <c r="B73" s="166"/>
      <c r="C73" s="167"/>
      <c r="D73" s="167"/>
      <c r="E73" s="167"/>
      <c r="F73" s="167"/>
      <c r="G73" s="40"/>
      <c r="H73" s="40"/>
      <c r="I73" s="40"/>
      <c r="J73" s="40"/>
      <c r="K73" s="116"/>
      <c r="L73" s="149"/>
    </row>
    <row r="74" ht="11.25">
      <c r="B74" s="55"/>
    </row>
    <row r="75" spans="2:10" ht="11.25">
      <c r="B75" s="53"/>
      <c r="E75" s="270"/>
      <c r="J75" t="s">
        <v>122</v>
      </c>
    </row>
    <row r="76" ht="12" thickBot="1">
      <c r="B76" s="53"/>
    </row>
    <row r="77" spans="2:12" ht="11.25">
      <c r="B77" s="298" t="s">
        <v>76</v>
      </c>
      <c r="C77" s="299"/>
      <c r="D77" s="299"/>
      <c r="E77" s="299"/>
      <c r="F77" s="299"/>
      <c r="G77" s="299"/>
      <c r="H77" s="299"/>
      <c r="I77" s="299"/>
      <c r="J77" s="299"/>
      <c r="K77" s="300"/>
      <c r="L77" s="149"/>
    </row>
    <row r="78" spans="2:12" ht="12" thickBot="1">
      <c r="B78" s="319" t="s">
        <v>117</v>
      </c>
      <c r="C78" s="320"/>
      <c r="D78" s="320"/>
      <c r="E78" s="320"/>
      <c r="F78" s="320"/>
      <c r="G78" s="320"/>
      <c r="H78" s="320"/>
      <c r="I78" s="320"/>
      <c r="J78" s="320"/>
      <c r="K78" s="321"/>
      <c r="L78" s="149"/>
    </row>
    <row r="79" spans="2:12" ht="11.25">
      <c r="B79" s="151"/>
      <c r="C79" s="150"/>
      <c r="D79" s="43"/>
      <c r="E79" s="150"/>
      <c r="F79" s="294" t="s">
        <v>110</v>
      </c>
      <c r="G79" s="301"/>
      <c r="H79" s="171" t="s">
        <v>129</v>
      </c>
      <c r="I79" s="294" t="s">
        <v>132</v>
      </c>
      <c r="J79" s="295"/>
      <c r="K79" s="296"/>
      <c r="L79" s="149"/>
    </row>
    <row r="80" spans="2:11" ht="11.25">
      <c r="B80" s="152"/>
      <c r="C80" s="12">
        <f>C33</f>
        <v>39722</v>
      </c>
      <c r="D80" s="106">
        <f>D33</f>
        <v>40057</v>
      </c>
      <c r="E80" s="12">
        <f>E33</f>
        <v>40087</v>
      </c>
      <c r="F80" s="12" t="s">
        <v>113</v>
      </c>
      <c r="G80" s="97" t="s">
        <v>112</v>
      </c>
      <c r="H80" s="97" t="s">
        <v>133</v>
      </c>
      <c r="I80" s="12">
        <f>I33</f>
        <v>40026</v>
      </c>
      <c r="J80" s="12">
        <f>J33</f>
        <v>40057</v>
      </c>
      <c r="K80" s="220">
        <f>K33</f>
        <v>40087</v>
      </c>
    </row>
    <row r="81" spans="2:14" ht="11.25">
      <c r="B81" s="111" t="s">
        <v>54</v>
      </c>
      <c r="C81" s="208">
        <v>48552.6455654978</v>
      </c>
      <c r="D81" s="208">
        <v>49269.5518854801</v>
      </c>
      <c r="E81" s="208">
        <v>52391.48718565307</v>
      </c>
      <c r="F81" s="208">
        <v>3121.935300172976</v>
      </c>
      <c r="G81" s="208">
        <v>3838.8416201552755</v>
      </c>
      <c r="H81" s="209">
        <v>6.336439404664082</v>
      </c>
      <c r="I81" s="209">
        <v>12.030913869830616</v>
      </c>
      <c r="J81" s="209">
        <v>6.6669791583641835</v>
      </c>
      <c r="K81" s="241">
        <v>7.906554988804171</v>
      </c>
      <c r="L81" s="54"/>
      <c r="M81" s="54"/>
      <c r="N81" s="54"/>
    </row>
    <row r="82" spans="2:14" ht="11.25">
      <c r="B82" s="111" t="s">
        <v>1</v>
      </c>
      <c r="C82" s="208">
        <v>16517.990429532914</v>
      </c>
      <c r="D82" s="208">
        <v>14660.17428462447</v>
      </c>
      <c r="E82" s="208">
        <v>17965.84852024358</v>
      </c>
      <c r="F82" s="208">
        <v>3305.67423561911</v>
      </c>
      <c r="G82" s="208">
        <v>1447.8580907106661</v>
      </c>
      <c r="H82" s="209">
        <v>22.548669418521765</v>
      </c>
      <c r="I82" s="209">
        <v>36.466265115613794</v>
      </c>
      <c r="J82" s="209">
        <v>16.5479249283883</v>
      </c>
      <c r="K82" s="241">
        <v>8.76534041406154</v>
      </c>
      <c r="L82" s="54"/>
      <c r="M82" s="54"/>
      <c r="N82" s="54"/>
    </row>
    <row r="83" spans="2:11" ht="11.25">
      <c r="B83" s="111" t="s">
        <v>73</v>
      </c>
      <c r="C83" s="208">
        <v>29701.147708164885</v>
      </c>
      <c r="D83" s="208">
        <v>31848.833498526335</v>
      </c>
      <c r="E83" s="208">
        <v>31609.25197272331</v>
      </c>
      <c r="F83" s="208">
        <v>-239.58152580302703</v>
      </c>
      <c r="G83" s="208">
        <v>1908.104264558424</v>
      </c>
      <c r="H83" s="209">
        <v>-0.7522458422664448</v>
      </c>
      <c r="I83" s="209">
        <v>2.194301502179341</v>
      </c>
      <c r="J83" s="209">
        <v>2.0508741205693015</v>
      </c>
      <c r="K83" s="241">
        <v>6.424345224995753</v>
      </c>
    </row>
    <row r="84" spans="2:11" ht="11.25">
      <c r="B84" s="113" t="s">
        <v>155</v>
      </c>
      <c r="C84" s="210">
        <v>-5836.12692793512</v>
      </c>
      <c r="D84" s="210">
        <v>-7242.889667428665</v>
      </c>
      <c r="E84" s="210">
        <v>-7510.42272950669</v>
      </c>
      <c r="F84" s="210">
        <v>-267.53306207802507</v>
      </c>
      <c r="G84" s="210">
        <v>-1674.2958015715703</v>
      </c>
      <c r="H84" s="211">
        <v>3.693733777018908</v>
      </c>
      <c r="I84" s="211">
        <v>61.81708656417293</v>
      </c>
      <c r="J84" s="211">
        <v>69.10773013853175</v>
      </c>
      <c r="K84" s="242">
        <v>28.688474775238525</v>
      </c>
    </row>
    <row r="85" spans="2:11" ht="11.25">
      <c r="B85" s="113" t="s">
        <v>156</v>
      </c>
      <c r="C85" s="210">
        <v>35537.2746361</v>
      </c>
      <c r="D85" s="210">
        <v>39091.723165955</v>
      </c>
      <c r="E85" s="210">
        <v>39119.67470223</v>
      </c>
      <c r="F85" s="210">
        <v>27.951536274995306</v>
      </c>
      <c r="G85" s="210">
        <v>3582.4000661299942</v>
      </c>
      <c r="H85" s="211">
        <v>0.07150244095491373</v>
      </c>
      <c r="I85" s="211">
        <v>10.061648795978995</v>
      </c>
      <c r="J85" s="211">
        <v>10.143021189121448</v>
      </c>
      <c r="K85" s="242">
        <v>10.080683177912775</v>
      </c>
    </row>
    <row r="86" spans="2:11" ht="11.25">
      <c r="B86" s="248" t="s">
        <v>48</v>
      </c>
      <c r="C86" s="210">
        <v>2634.9635329599996</v>
      </c>
      <c r="D86" s="210">
        <v>3104.3530959600002</v>
      </c>
      <c r="E86" s="210">
        <v>2864.77439322</v>
      </c>
      <c r="F86" s="210">
        <v>-239.57870274000015</v>
      </c>
      <c r="G86" s="210">
        <v>229.81086026000048</v>
      </c>
      <c r="H86" s="211">
        <v>-7.717508135649501</v>
      </c>
      <c r="I86" s="211">
        <v>3.5627771024558275</v>
      </c>
      <c r="J86" s="211">
        <v>2.491679684680004</v>
      </c>
      <c r="K86" s="242">
        <v>8.721595475055445</v>
      </c>
    </row>
    <row r="87" spans="2:11" ht="11.25">
      <c r="B87" s="248" t="s">
        <v>140</v>
      </c>
      <c r="C87" s="210">
        <v>89.68171382</v>
      </c>
      <c r="D87" s="210">
        <v>82.02467143000001</v>
      </c>
      <c r="E87" s="210">
        <v>93.66979751000001</v>
      </c>
      <c r="F87" s="210">
        <v>11.645126079999997</v>
      </c>
      <c r="G87" s="210">
        <v>3.9880836900000105</v>
      </c>
      <c r="H87" s="211">
        <v>14.197101770700742</v>
      </c>
      <c r="I87" s="211">
        <v>60.53834156350166</v>
      </c>
      <c r="J87" s="211">
        <v>21.994988705698137</v>
      </c>
      <c r="K87" s="242">
        <v>4.446930728826715</v>
      </c>
    </row>
    <row r="88" spans="2:11" ht="11.25">
      <c r="B88" s="248" t="s">
        <v>143</v>
      </c>
      <c r="C88" s="210">
        <v>484.97809409</v>
      </c>
      <c r="D88" s="210">
        <v>559.8669139900001</v>
      </c>
      <c r="E88" s="210">
        <v>586.34514551</v>
      </c>
      <c r="F88" s="210">
        <v>26.478231519999895</v>
      </c>
      <c r="G88" s="210">
        <v>101.36705141999994</v>
      </c>
      <c r="H88" s="211">
        <v>4.7293795826043095</v>
      </c>
      <c r="I88" s="211">
        <v>55.87414203680729</v>
      </c>
      <c r="J88" s="211">
        <v>23.299283882099186</v>
      </c>
      <c r="K88" s="242">
        <v>20.90136702157701</v>
      </c>
    </row>
    <row r="89" spans="2:11" ht="11.25">
      <c r="B89" s="248" t="s">
        <v>128</v>
      </c>
      <c r="C89" s="210">
        <v>10978.490238930002</v>
      </c>
      <c r="D89" s="210">
        <v>12465.92667734</v>
      </c>
      <c r="E89" s="210">
        <v>12675.70917272</v>
      </c>
      <c r="F89" s="210">
        <v>209.7824953800009</v>
      </c>
      <c r="G89" s="210">
        <v>1697.2189337899981</v>
      </c>
      <c r="H89" s="211">
        <v>1.6828471786324084</v>
      </c>
      <c r="I89" s="211">
        <v>13.474473699735888</v>
      </c>
      <c r="J89" s="211">
        <v>14.66552973358044</v>
      </c>
      <c r="K89" s="242">
        <v>15.459493034585181</v>
      </c>
    </row>
    <row r="90" spans="2:11" ht="11.25">
      <c r="B90" s="248" t="s">
        <v>49</v>
      </c>
      <c r="C90" s="210">
        <v>21344.3080563</v>
      </c>
      <c r="D90" s="210">
        <v>22874.176807235006</v>
      </c>
      <c r="E90" s="210">
        <v>22893.80119327</v>
      </c>
      <c r="F90" s="210">
        <v>19.624386034993222</v>
      </c>
      <c r="G90" s="210">
        <v>1549.493136969999</v>
      </c>
      <c r="H90" s="211">
        <v>0.08579275311357264</v>
      </c>
      <c r="I90" s="211">
        <v>8.101678839531722</v>
      </c>
      <c r="J90" s="211">
        <v>8.587591021365949</v>
      </c>
      <c r="K90" s="242">
        <v>7.259514493901098</v>
      </c>
    </row>
    <row r="91" spans="2:11" ht="11.25">
      <c r="B91" s="248" t="s">
        <v>138</v>
      </c>
      <c r="C91" s="210">
        <v>4.853</v>
      </c>
      <c r="D91" s="210">
        <v>5.375</v>
      </c>
      <c r="E91" s="210">
        <v>5.375</v>
      </c>
      <c r="F91" s="210">
        <v>0</v>
      </c>
      <c r="G91" s="210">
        <v>0.5220000000000002</v>
      </c>
      <c r="H91" s="211">
        <v>0</v>
      </c>
      <c r="I91" s="211">
        <v>0</v>
      </c>
      <c r="J91" s="211">
        <v>0</v>
      </c>
      <c r="K91" s="242">
        <v>0</v>
      </c>
    </row>
    <row r="92" spans="2:14" ht="11.25">
      <c r="B92" s="110" t="s">
        <v>150</v>
      </c>
      <c r="C92" s="210">
        <v>2333.5074278</v>
      </c>
      <c r="D92" s="210">
        <v>2760.544102329286</v>
      </c>
      <c r="E92" s="210">
        <v>2816.38669268619</v>
      </c>
      <c r="F92" s="210">
        <v>55.84259035690411</v>
      </c>
      <c r="G92" s="210">
        <v>482.87926488618996</v>
      </c>
      <c r="H92" s="211">
        <v>2.0228834710441816</v>
      </c>
      <c r="I92" s="211">
        <v>18.152882577613894</v>
      </c>
      <c r="J92" s="211">
        <v>14.897106828343066</v>
      </c>
      <c r="K92" s="242">
        <v>20.693281672621122</v>
      </c>
      <c r="L92" s="54"/>
      <c r="M92" s="54"/>
      <c r="N92" s="54"/>
    </row>
    <row r="93" spans="2:11" ht="11.25">
      <c r="B93" s="110"/>
      <c r="C93" s="210"/>
      <c r="D93" s="210"/>
      <c r="E93" s="210"/>
      <c r="F93" s="208"/>
      <c r="G93" s="208"/>
      <c r="H93" s="209"/>
      <c r="I93" s="209"/>
      <c r="J93" s="209"/>
      <c r="K93" s="241"/>
    </row>
    <row r="94" spans="2:14" ht="11.25">
      <c r="B94" s="111" t="s">
        <v>60</v>
      </c>
      <c r="C94" s="208">
        <v>48552.65325791873</v>
      </c>
      <c r="D94" s="208">
        <v>49269.52575863485</v>
      </c>
      <c r="E94" s="208">
        <v>52391.516554531794</v>
      </c>
      <c r="F94" s="208">
        <v>3121.9907958969416</v>
      </c>
      <c r="G94" s="208">
        <v>3838.863296613061</v>
      </c>
      <c r="H94" s="209">
        <v>6.336555401793753</v>
      </c>
      <c r="I94" s="209">
        <v>12.030833008914922</v>
      </c>
      <c r="J94" s="209">
        <v>6.666914091282106</v>
      </c>
      <c r="K94" s="241">
        <v>7.906598381391161</v>
      </c>
      <c r="L94" s="54"/>
      <c r="M94" s="54"/>
      <c r="N94" s="54"/>
    </row>
    <row r="95" spans="2:11" ht="11.25">
      <c r="B95" s="111" t="s">
        <v>74</v>
      </c>
      <c r="C95" s="208">
        <v>29175.939920890236</v>
      </c>
      <c r="D95" s="208">
        <v>29362.891293546865</v>
      </c>
      <c r="E95" s="208">
        <v>30592.078932496657</v>
      </c>
      <c r="F95" s="208">
        <v>1229.187638949792</v>
      </c>
      <c r="G95" s="208">
        <v>1416.1390116064213</v>
      </c>
      <c r="H95" s="209">
        <v>4.186194154592442</v>
      </c>
      <c r="I95" s="209">
        <v>6.338506923573117</v>
      </c>
      <c r="J95" s="209">
        <v>1.2888819757131298</v>
      </c>
      <c r="K95" s="241">
        <v>4.853790539212244</v>
      </c>
    </row>
    <row r="96" spans="2:11" ht="11.25">
      <c r="B96" s="113" t="s">
        <v>157</v>
      </c>
      <c r="C96" s="210">
        <v>1234.2519171000001</v>
      </c>
      <c r="D96" s="210">
        <v>1084.8661080494942</v>
      </c>
      <c r="E96" s="210">
        <v>1145.4340016126</v>
      </c>
      <c r="F96" s="210">
        <v>60.56789356310583</v>
      </c>
      <c r="G96" s="210">
        <v>-88.81791548740011</v>
      </c>
      <c r="H96" s="211">
        <v>5.582983292933931</v>
      </c>
      <c r="I96" s="211">
        <v>11.409257540649897</v>
      </c>
      <c r="J96" s="211">
        <v>0.7883256725318866</v>
      </c>
      <c r="K96" s="242">
        <v>-7.196092973960033</v>
      </c>
    </row>
    <row r="97" spans="2:11" ht="11.25">
      <c r="B97" s="113" t="s">
        <v>158</v>
      </c>
      <c r="C97" s="210">
        <v>16394.431309235202</v>
      </c>
      <c r="D97" s="210">
        <v>18408.994743732383</v>
      </c>
      <c r="E97" s="210">
        <v>19549.522150284196</v>
      </c>
      <c r="F97" s="210">
        <v>1140.5274065518133</v>
      </c>
      <c r="G97" s="210">
        <v>3155.0908410489938</v>
      </c>
      <c r="H97" s="211">
        <v>6.195489881054602</v>
      </c>
      <c r="I97" s="211">
        <v>5.946516772522781</v>
      </c>
      <c r="J97" s="211">
        <v>2.4029576488703297</v>
      </c>
      <c r="K97" s="242">
        <v>19.244893473503332</v>
      </c>
    </row>
    <row r="98" spans="2:13" ht="11.25">
      <c r="B98" s="113" t="s">
        <v>159</v>
      </c>
      <c r="C98" s="210">
        <v>11543.32579344</v>
      </c>
      <c r="D98" s="210">
        <v>9865.08386341452</v>
      </c>
      <c r="E98" s="210">
        <v>9893.185198179863</v>
      </c>
      <c r="F98" s="210">
        <v>28.10133476534247</v>
      </c>
      <c r="G98" s="210">
        <v>-1650.140595260138</v>
      </c>
      <c r="H98" s="211">
        <v>0.28485652179358145</v>
      </c>
      <c r="I98" s="211">
        <v>6.51091647260269</v>
      </c>
      <c r="J98" s="211">
        <v>-0.6730889289135455</v>
      </c>
      <c r="K98" s="242">
        <v>-14.295192085784347</v>
      </c>
      <c r="L98" s="54"/>
      <c r="M98" s="54"/>
    </row>
    <row r="99" spans="2:11" ht="11.25">
      <c r="B99" s="113" t="s">
        <v>106</v>
      </c>
      <c r="C99" s="210">
        <v>3.9309011150360655</v>
      </c>
      <c r="D99" s="210">
        <v>3.9465783504657534</v>
      </c>
      <c r="E99" s="210">
        <v>3.9375824199999996</v>
      </c>
      <c r="F99" s="210">
        <v>-0.008995930465753865</v>
      </c>
      <c r="G99" s="210">
        <v>0.006681304963934043</v>
      </c>
      <c r="H99" s="211">
        <v>-0.22794252810645999</v>
      </c>
      <c r="I99" s="211">
        <v>0.7272252820022418</v>
      </c>
      <c r="J99" s="211">
        <v>0.575616187339345</v>
      </c>
      <c r="K99" s="242">
        <v>0.16996878752246758</v>
      </c>
    </row>
    <row r="100" spans="2:14" ht="11.25">
      <c r="B100" s="110" t="s">
        <v>160</v>
      </c>
      <c r="C100" s="210">
        <v>19380.644238143534</v>
      </c>
      <c r="D100" s="210">
        <v>19910.581043438455</v>
      </c>
      <c r="E100" s="210">
        <v>21803.375204455137</v>
      </c>
      <c r="F100" s="210">
        <v>1892.7941610166818</v>
      </c>
      <c r="G100" s="210">
        <v>2422.730966311603</v>
      </c>
      <c r="H100" s="211">
        <v>9.506473753263235</v>
      </c>
      <c r="I100" s="211">
        <v>21.890049863405213</v>
      </c>
      <c r="J100" s="211">
        <v>15.727278138525413</v>
      </c>
      <c r="K100" s="242">
        <v>12.500776220551879</v>
      </c>
      <c r="N100" s="54"/>
    </row>
    <row r="101" spans="2:11" ht="12" thickBot="1">
      <c r="B101" s="168"/>
      <c r="C101" s="217"/>
      <c r="D101" s="217"/>
      <c r="E101" s="217"/>
      <c r="F101" s="218"/>
      <c r="G101" s="218"/>
      <c r="H101" s="219"/>
      <c r="I101" s="219"/>
      <c r="J101" s="219"/>
      <c r="K101" s="243"/>
    </row>
    <row r="102" spans="2:13" ht="12" customHeight="1" hidden="1" thickBot="1">
      <c r="B102" s="39" t="s">
        <v>75</v>
      </c>
      <c r="C102" s="212">
        <v>-0.02241342821798753</v>
      </c>
      <c r="D102" s="212">
        <v>-0.04190398721402744</v>
      </c>
      <c r="E102" s="212">
        <v>-0.017016961370245554</v>
      </c>
      <c r="F102" s="212">
        <v>0.024887025843781885</v>
      </c>
      <c r="G102" s="212">
        <v>0.005396466847741976</v>
      </c>
      <c r="H102" s="212">
        <v>6.314336995538739E-05</v>
      </c>
      <c r="I102" s="212">
        <v>-0.00017943695699784712</v>
      </c>
      <c r="J102" s="212">
        <v>-0.00017625866459880513</v>
      </c>
      <c r="K102" s="212">
        <v>2.6387598804689105E-05</v>
      </c>
      <c r="L102" s="54"/>
      <c r="M102" s="54"/>
    </row>
    <row r="103" spans="2:11" ht="11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</sheetData>
  <sheetProtection/>
  <mergeCells count="12">
    <mergeCell ref="I4:K4"/>
    <mergeCell ref="I32:K32"/>
    <mergeCell ref="I79:K79"/>
    <mergeCell ref="F32:G32"/>
    <mergeCell ref="F79:G79"/>
    <mergeCell ref="B2:K2"/>
    <mergeCell ref="B3:K3"/>
    <mergeCell ref="B77:K77"/>
    <mergeCell ref="B78:K78"/>
    <mergeCell ref="B30:K30"/>
    <mergeCell ref="B31:K31"/>
    <mergeCell ref="F4:G4"/>
  </mergeCells>
  <printOptions/>
  <pageMargins left="0.75" right="0.75" top="1" bottom="1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ham442</cp:lastModifiedBy>
  <cp:lastPrinted>2009-12-03T20:05:11Z</cp:lastPrinted>
  <dcterms:created xsi:type="dcterms:W3CDTF">1999-07-02T10:21:54Z</dcterms:created>
  <dcterms:modified xsi:type="dcterms:W3CDTF">2010-01-07T13:03:12Z</dcterms:modified>
  <cp:category/>
  <cp:version/>
  <cp:contentType/>
  <cp:contentStatus/>
</cp:coreProperties>
</file>