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2385" windowWidth="9585" windowHeight="5730" tabRatio="616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'S2'!$A$1:$L$48</definedName>
    <definedName name="_xlnm.Print_Area" localSheetId="4">'S4'!$A$1:$B$82</definedName>
    <definedName name="_xlnm.Print_Area" localSheetId="5">'S5'!$A$1:$K$77</definedName>
    <definedName name="_xlnm.Print_Area" localSheetId="6">'S6'!$B$2:$Q$20</definedName>
    <definedName name="_xlnm.Print_Area" localSheetId="7">'S7'!$A$1:$O$74</definedName>
    <definedName name="_xlnm.Print_Area" localSheetId="8">'S8'!$B$77:$I$101</definedName>
    <definedName name="Z_1119964D_FB32_11D4_9C51_0090277BCB1A_.wvu.Cols" localSheetId="6" hidden="1">'S6'!$B:$B</definedName>
    <definedName name="Z_1119964D_FB32_11D4_9C51_0090277BCB1A_.wvu.PrintArea" localSheetId="2" hidden="1">'S2'!$A$1:$L$49</definedName>
    <definedName name="Z_1119964D_FB32_11D4_9C51_0090277BCB1A_.wvu.PrintArea" localSheetId="4" hidden="1">'S4'!$A$2:$A$82</definedName>
    <definedName name="Z_1119964D_FB32_11D4_9C51_0090277BCB1A_.wvu.PrintArea" localSheetId="5" hidden="1">'S5'!$A$1:$K$77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'S2'!$A$1:$L$49</definedName>
    <definedName name="Z_4BE07961_847F_11D4_A83A_00D0B7747A8F_.wvu.PrintArea" localSheetId="4" hidden="1">'S4'!$A$2:$A$82</definedName>
    <definedName name="Z_4BE07961_847F_11D4_A83A_00D0B7747A8F_.wvu.PrintArea" localSheetId="5" hidden="1">'S5'!$A$1:$K$77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'S2'!$A$1:$L$49</definedName>
    <definedName name="Z_5050E6E2_8401_11D4_81A4_00608C91AED9_.wvu.PrintArea" localSheetId="4" hidden="1">'S4'!$A$2:$A$82</definedName>
    <definedName name="Z_5050E6E2_8401_11D4_81A4_00608C91AED9_.wvu.PrintArea" localSheetId="5" hidden="1">'S5'!$A$1:$K$77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<sst xmlns="http://schemas.openxmlformats.org/spreadsheetml/2006/main" count="258" uniqueCount="171">
  <si>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</si>
  <si>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</si>
  <si>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</si>
  <si>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</si>
  <si>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</si>
  <si>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</si>
  <si>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</si>
  <si>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</si>
  <si>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</si>
  <si>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</si>
  <si>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</si>
  <si>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</si>
  <si>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</si>
  <si>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</si>
  <si>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</si>
  <si>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</si>
  <si>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</si>
  <si>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</si>
  <si>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</si>
  <si>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</si>
  <si>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</si>
  <si>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</si>
  <si>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</si>
  <si>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</si>
  <si>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</si>
  <si>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</si>
  <si>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</si>
  <si>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</si>
  <si>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</si>
  <si>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</si>
  <si>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</si>
  <si>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</si>
  <si>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</si>
  <si>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</si>
  <si>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</si>
  <si>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</si>
  <si>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</si>
  <si>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</si>
  <si>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</si>
  <si>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</si>
  <si>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</si>
  <si>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</si>
  <si>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</si>
  <si>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</si>
  <si>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</si>
  <si>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</si>
  <si>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</si>
  <si>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</si>
  <si>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</si>
  <si>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</si>
  <si>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</si>
  <si>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</si>
  <si>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</si>
  <si>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</si>
  <si>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</si>
  <si>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</si>
  <si>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</si>
  <si>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</si>
  <si>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</si>
  <si>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</si>
  <si>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</si>
  <si>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</si>
  <si>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</si>
  <si>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</si>
  <si>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</si>
  <si>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</si>
  <si>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</si>
  <si>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</si>
  <si>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</si>
  <si>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</si>
  <si>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</si>
  <si>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</si>
  <si>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</si>
  <si>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</si>
  <si>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</si>
  <si>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</si>
  <si>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</si>
  <si>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</si>
  <si>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</si>
  <si>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</si>
  <si>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</si>
  <si>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</si>
  <si>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</si>
  <si>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</si>
  <si>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</si>
  <si>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</si>
  <si>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Money and Banking Statistics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</si>
  <si>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</si>
  <si>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</si>
  <si>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</si>
  <si>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</si>
  <si>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</si>
  <si>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</si>
  <si>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</si>
  <si>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</si>
  <si>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</si>
  <si>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</si>
  <si>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</si>
  <si>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</si>
  <si>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</si>
  <si>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</si>
  <si>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</si>
  <si>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         Foreign exchange reserves (NAD millions)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</si>
  <si>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</si>
  <si>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</si>
  <si>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</si>
  <si>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</si>
  <si>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</si>
  <si>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</si>
  <si>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</si>
  <si>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</si>
  <si>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</si>
  <si>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</si>
  <si>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</si>
  <si>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</si>
  <si>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</si>
  <si>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</si>
  <si>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</si>
  <si>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</si>
  <si>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</si>
  <si>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</si>
  <si>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</si>
  <si>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</si>
  <si>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</si>
  <si>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</si>
  <si>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</si>
  <si>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</si>
  <si>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</si>
  <si>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</si>
  <si>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</si>
  <si>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</si>
  <si>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</si>
  <si>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</si>
  <si>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 xml:space="preserve">   Source: BON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</si>
  <si>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</si>
  <si>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</si>
  <si>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</si>
  <si>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</si>
  <si>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</si>
  <si>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                         U.S Dollar/Namibia Dollar exchange rate</t>
  </si>
  <si>
    <t xml:space="preserve">  Selected interest rates</t>
  </si>
  <si>
    <t xml:space="preserve">                  NSX indices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</si>
  <si>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</si>
  <si>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</si>
  <si>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</si>
  <si>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>Change in N$ mill</t>
  </si>
  <si>
    <t xml:space="preserve">   **International reserves</t>
  </si>
  <si>
    <t xml:space="preserve">Percentage Change </t>
  </si>
  <si>
    <t>One year</t>
  </si>
  <si>
    <t xml:space="preserve">  Percentage Change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</si>
  <si>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</si>
  <si>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</si>
  <si>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</si>
  <si>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</si>
  <si>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</si>
  <si>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</si>
  <si>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</si>
  <si>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Claims on the *Other Sectors  by the Other Depository Corporations (N$ million)</t>
  </si>
  <si>
    <t>Components of Money Supply (N$ million)</t>
  </si>
  <si>
    <t>Determinants of Money Supply (N$ million)</t>
  </si>
  <si>
    <t>Claims on Other Sectors</t>
  </si>
  <si>
    <t>Claims on non residents</t>
  </si>
  <si>
    <t>Securities other than shares included in M2</t>
  </si>
  <si>
    <t>Securities other than shares excluded from M2</t>
  </si>
  <si>
    <t xml:space="preserve"> </t>
  </si>
  <si>
    <t>n/a</t>
  </si>
  <si>
    <t>n/a stands for not available</t>
  </si>
  <si>
    <t xml:space="preserve">       International reserves** and exchange rates</t>
  </si>
  <si>
    <t xml:space="preserve">    Money Supply (annual  percentage changes)</t>
  </si>
  <si>
    <t>Domestic  and other sectors claims (month-on-month percentage changes)</t>
  </si>
  <si>
    <t>Domestic  and other sectors claims (annual percentage changes)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</si>
</sst>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06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8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8.75"/>
      <color indexed="8"/>
      <name val="Arial"/>
      <family val="0"/>
    </font>
    <font>
      <sz val="11"/>
      <color indexed="16"/>
      <name val="Arial"/>
      <family val="0"/>
    </font>
    <font>
      <sz val="17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6"/>
      <color indexed="16"/>
      <name val="Arial"/>
      <family val="0"/>
    </font>
    <font>
      <sz val="12"/>
      <color indexed="16"/>
      <name val="Arial"/>
      <family val="0"/>
    </font>
    <font>
      <sz val="12"/>
      <color indexed="25"/>
      <name val="Arial"/>
      <family val="0"/>
    </font>
    <font>
      <sz val="11"/>
      <color indexed="8"/>
      <name val="Arial"/>
      <family val="0"/>
    </font>
    <font>
      <sz val="14"/>
      <color indexed="16"/>
      <name val="Arial"/>
      <family val="0"/>
    </font>
    <font>
      <sz val="8"/>
      <color indexed="25"/>
      <name val="Arial"/>
      <family val="0"/>
    </font>
    <font>
      <sz val="15.5"/>
      <color indexed="8"/>
      <name val="Arial"/>
      <family val="0"/>
    </font>
    <font>
      <sz val="16"/>
      <color indexed="25"/>
      <name val="Arial"/>
      <family val="0"/>
    </font>
    <font>
      <sz val="14"/>
      <color indexed="25"/>
      <name val="Arial"/>
      <family val="0"/>
    </font>
    <font>
      <sz val="10.5"/>
      <color indexed="16"/>
      <name val="Arial"/>
      <family val="0"/>
    </font>
    <font>
      <sz val="10"/>
      <color indexed="16"/>
      <name val="Arial"/>
      <family val="0"/>
    </font>
    <font>
      <sz val="9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85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95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78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85" fontId="38" fillId="35" borderId="15" xfId="0" applyNumberFormat="1" applyFont="1" applyFill="1" applyBorder="1" applyAlignment="1">
      <alignment horizontal="center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right"/>
    </xf>
    <xf numFmtId="178" fontId="38" fillId="35" borderId="21" xfId="0" applyNumberFormat="1" applyFont="1" applyFill="1" applyBorder="1" applyAlignment="1">
      <alignment/>
    </xf>
    <xf numFmtId="178" fontId="38" fillId="35" borderId="21" xfId="0" applyNumberFormat="1" applyFont="1" applyFill="1" applyBorder="1" applyAlignment="1">
      <alignment horizontal="right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center"/>
    </xf>
    <xf numFmtId="178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2" fontId="38" fillId="35" borderId="15" xfId="0" applyNumberFormat="1" applyFont="1" applyFill="1" applyBorder="1" applyAlignment="1">
      <alignment/>
    </xf>
    <xf numFmtId="182" fontId="38" fillId="35" borderId="15" xfId="0" applyNumberFormat="1" applyFont="1" applyFill="1" applyBorder="1" applyAlignment="1">
      <alignment horizontal="center"/>
    </xf>
    <xf numFmtId="182" fontId="38" fillId="35" borderId="15" xfId="0" applyNumberFormat="1" applyFont="1" applyFill="1" applyBorder="1" applyAlignment="1">
      <alignment horizontal="right"/>
    </xf>
    <xf numFmtId="182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23" xfId="64" applyFont="1" applyFill="1" applyBorder="1">
      <alignment/>
      <protection/>
    </xf>
    <xf numFmtId="0" fontId="43" fillId="0" borderId="0" xfId="0" applyFont="1" applyAlignment="1">
      <alignment/>
    </xf>
    <xf numFmtId="0" fontId="13" fillId="33" borderId="13" xfId="0" applyFont="1" applyFill="1" applyBorder="1" applyAlignment="1">
      <alignment horizontal="right"/>
    </xf>
    <xf numFmtId="185" fontId="4" fillId="0" borderId="24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85" fontId="26" fillId="35" borderId="0" xfId="0" applyNumberFormat="1" applyFont="1" applyFill="1" applyBorder="1" applyAlignment="1">
      <alignment horizontal="right"/>
    </xf>
    <xf numFmtId="185" fontId="4" fillId="35" borderId="0" xfId="0" applyNumberFormat="1" applyFont="1" applyFill="1" applyBorder="1" applyAlignment="1">
      <alignment horizontal="right"/>
    </xf>
    <xf numFmtId="185" fontId="26" fillId="35" borderId="18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/>
    </xf>
    <xf numFmtId="185" fontId="4" fillId="36" borderId="18" xfId="0" applyNumberFormat="1" applyFont="1" applyFill="1" applyBorder="1" applyAlignment="1">
      <alignment/>
    </xf>
    <xf numFmtId="185" fontId="26" fillId="35" borderId="2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8" fontId="9" fillId="35" borderId="15" xfId="0" applyNumberFormat="1" applyFont="1" applyFill="1" applyBorder="1" applyAlignment="1">
      <alignment horizontal="right"/>
    </xf>
    <xf numFmtId="185" fontId="9" fillId="35" borderId="20" xfId="0" applyNumberFormat="1" applyFont="1" applyFill="1" applyBorder="1" applyAlignment="1">
      <alignment/>
    </xf>
    <xf numFmtId="185" fontId="9" fillId="35" borderId="16" xfId="0" applyNumberFormat="1" applyFont="1" applyFill="1" applyBorder="1" applyAlignment="1">
      <alignment/>
    </xf>
    <xf numFmtId="2" fontId="9" fillId="35" borderId="20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85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185" fontId="4" fillId="35" borderId="2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85" fontId="26" fillId="35" borderId="22" xfId="0" applyNumberFormat="1" applyFont="1" applyFill="1" applyBorder="1" applyAlignment="1">
      <alignment/>
    </xf>
    <xf numFmtId="0" fontId="15" fillId="35" borderId="30" xfId="0" applyFont="1" applyFill="1" applyBorder="1" applyAlignment="1">
      <alignment/>
    </xf>
    <xf numFmtId="185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185" fontId="4" fillId="35" borderId="18" xfId="0" applyNumberFormat="1" applyFont="1" applyFill="1" applyBorder="1" applyAlignment="1">
      <alignment/>
    </xf>
    <xf numFmtId="185" fontId="4" fillId="35" borderId="22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185" fontId="26" fillId="36" borderId="21" xfId="0" applyNumberFormat="1" applyFont="1" applyFill="1" applyBorder="1" applyAlignment="1">
      <alignment/>
    </xf>
    <xf numFmtId="0" fontId="27" fillId="37" borderId="11" xfId="0" applyFont="1" applyFill="1" applyBorder="1" applyAlignment="1">
      <alignment horizontal="left" indent="2"/>
    </xf>
    <xf numFmtId="185" fontId="4" fillId="36" borderId="2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85" fontId="4" fillId="36" borderId="22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2" fontId="4" fillId="35" borderId="0" xfId="42" applyNumberFormat="1" applyFont="1" applyFill="1" applyBorder="1" applyAlignment="1">
      <alignment horizontal="righ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202" fontId="4" fillId="35" borderId="0" xfId="42" applyNumberFormat="1" applyFont="1" applyFill="1" applyBorder="1" applyAlignment="1">
      <alignment/>
    </xf>
    <xf numFmtId="202" fontId="4" fillId="36" borderId="0" xfId="42" applyNumberFormat="1" applyFont="1" applyFill="1" applyBorder="1" applyAlignment="1">
      <alignment/>
    </xf>
    <xf numFmtId="178" fontId="4" fillId="35" borderId="18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26" fillId="35" borderId="11" xfId="64" applyFont="1" applyFill="1" applyBorder="1">
      <alignment/>
      <protection/>
    </xf>
    <xf numFmtId="178" fontId="26" fillId="35" borderId="21" xfId="0" applyNumberFormat="1" applyFont="1" applyFill="1" applyBorder="1" applyAlignment="1">
      <alignment/>
    </xf>
    <xf numFmtId="0" fontId="27" fillId="35" borderId="11" xfId="64" applyFont="1" applyFill="1" applyBorder="1" applyAlignment="1">
      <alignment horizontal="left" indent="1"/>
      <protection/>
    </xf>
    <xf numFmtId="178" fontId="4" fillId="35" borderId="21" xfId="0" applyNumberFormat="1" applyFont="1" applyFill="1" applyBorder="1" applyAlignment="1">
      <alignment/>
    </xf>
    <xf numFmtId="0" fontId="26" fillId="35" borderId="11" xfId="64" applyFont="1" applyFill="1" applyBorder="1" applyAlignment="1">
      <alignment horizontal="left"/>
      <protection/>
    </xf>
    <xf numFmtId="185" fontId="27" fillId="35" borderId="11" xfId="64" applyNumberFormat="1" applyFont="1" applyFill="1" applyBorder="1" applyAlignment="1">
      <alignment horizontal="left" indent="1"/>
      <protection/>
    </xf>
    <xf numFmtId="185" fontId="4" fillId="35" borderId="11" xfId="64" applyNumberFormat="1" applyFont="1" applyFill="1" applyBorder="1">
      <alignment/>
      <protection/>
    </xf>
    <xf numFmtId="185" fontId="26" fillId="35" borderId="12" xfId="64" applyNumberFormat="1" applyFont="1" applyFill="1" applyBorder="1">
      <alignment/>
      <protection/>
    </xf>
    <xf numFmtId="178" fontId="26" fillId="35" borderId="22" xfId="0" applyNumberFormat="1" applyFont="1" applyFill="1" applyBorder="1" applyAlignment="1">
      <alignment/>
    </xf>
    <xf numFmtId="185" fontId="26" fillId="35" borderId="11" xfId="0" applyNumberFormat="1" applyFont="1" applyFill="1" applyBorder="1" applyAlignment="1">
      <alignment/>
    </xf>
    <xf numFmtId="185" fontId="27" fillId="35" borderId="11" xfId="0" applyNumberFormat="1" applyFont="1" applyFill="1" applyBorder="1" applyAlignment="1">
      <alignment horizontal="left" indent="1"/>
    </xf>
    <xf numFmtId="185" fontId="27" fillId="35" borderId="11" xfId="0" applyNumberFormat="1" applyFont="1" applyFill="1" applyBorder="1" applyAlignment="1">
      <alignment horizontal="left"/>
    </xf>
    <xf numFmtId="185" fontId="26" fillId="35" borderId="11" xfId="0" applyNumberFormat="1" applyFont="1" applyFill="1" applyBorder="1" applyAlignment="1">
      <alignment horizontal="left" indent="2"/>
    </xf>
    <xf numFmtId="185" fontId="26" fillId="35" borderId="11" xfId="0" applyNumberFormat="1" applyFont="1" applyFill="1" applyBorder="1" applyAlignment="1">
      <alignment horizontal="left"/>
    </xf>
    <xf numFmtId="185" fontId="4" fillId="35" borderId="11" xfId="0" applyNumberFormat="1" applyFont="1" applyFill="1" applyBorder="1" applyAlignment="1">
      <alignment horizontal="left" indent="2"/>
    </xf>
    <xf numFmtId="185" fontId="4" fillId="35" borderId="11" xfId="0" applyNumberFormat="1" applyFont="1" applyFill="1" applyBorder="1" applyAlignment="1">
      <alignment/>
    </xf>
    <xf numFmtId="185" fontId="27" fillId="35" borderId="12" xfId="0" applyNumberFormat="1" applyFont="1" applyFill="1" applyBorder="1" applyAlignment="1">
      <alignment horizontal="left" indent="1"/>
    </xf>
    <xf numFmtId="185" fontId="26" fillId="35" borderId="18" xfId="64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2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178" fontId="4" fillId="35" borderId="0" xfId="42" applyNumberFormat="1" applyFont="1" applyFill="1" applyBorder="1" applyAlignment="1">
      <alignment horizontal="right"/>
    </xf>
    <xf numFmtId="0" fontId="15" fillId="0" borderId="24" xfId="0" applyFont="1" applyBorder="1" applyAlignment="1">
      <alignment/>
    </xf>
    <xf numFmtId="43" fontId="9" fillId="35" borderId="15" xfId="42" applyFont="1" applyFill="1" applyBorder="1" applyAlignment="1">
      <alignment/>
    </xf>
    <xf numFmtId="43" fontId="9" fillId="35" borderId="15" xfId="42" applyFont="1" applyFill="1" applyBorder="1" applyAlignment="1">
      <alignment horizontal="right"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46" fontId="13" fillId="33" borderId="35" xfId="0" applyNumberFormat="1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2" fillId="34" borderId="0" xfId="0" applyNumberFormat="1" applyFont="1" applyFill="1" applyAlignment="1">
      <alignment horizontal="left"/>
    </xf>
    <xf numFmtId="0" fontId="5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275"/>
          <c:w val="0.9697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Chart'!$BF$8:$BR$8</c:f>
              <c:numCache>
                <c:ptCount val="13"/>
                <c:pt idx="0">
                  <c:v>39051</c:v>
                </c:pt>
                <c:pt idx="1">
                  <c:v>39082</c:v>
                </c:pt>
                <c:pt idx="2">
                  <c:v>39113</c:v>
                </c:pt>
                <c:pt idx="3">
                  <c:v>39141</c:v>
                </c:pt>
                <c:pt idx="4">
                  <c:v>39172</c:v>
                </c:pt>
                <c:pt idx="5">
                  <c:v>39202</c:v>
                </c:pt>
                <c:pt idx="6">
                  <c:v>39233</c:v>
                </c:pt>
                <c:pt idx="7">
                  <c:v>39263</c:v>
                </c:pt>
                <c:pt idx="8">
                  <c:v>39294</c:v>
                </c:pt>
                <c:pt idx="9">
                  <c:v>39325</c:v>
                </c:pt>
                <c:pt idx="10">
                  <c:v>39355</c:v>
                </c:pt>
                <c:pt idx="11">
                  <c:v>39386</c:v>
                </c:pt>
                <c:pt idx="12">
                  <c:v>39416</c:v>
                </c:pt>
              </c:numCache>
            </c:numRef>
          </c:cat>
          <c:val>
            <c:numRef>
              <c:f>'[2]M1 M2 Chart'!$BF$9:$BR$9</c:f>
              <c:numCache>
                <c:ptCount val="13"/>
                <c:pt idx="0">
                  <c:v>1.7061921582027462</c:v>
                </c:pt>
                <c:pt idx="1">
                  <c:v>-0.34170916060395856</c:v>
                </c:pt>
                <c:pt idx="2">
                  <c:v>3.1247813249456087</c:v>
                </c:pt>
                <c:pt idx="3">
                  <c:v>-0.8175012350289527</c:v>
                </c:pt>
                <c:pt idx="4">
                  <c:v>-2.0163592435092164</c:v>
                </c:pt>
                <c:pt idx="5">
                  <c:v>2.124264004786151</c:v>
                </c:pt>
                <c:pt idx="6">
                  <c:v>1.8639134323938458</c:v>
                </c:pt>
                <c:pt idx="7">
                  <c:v>-4.265278640754327</c:v>
                </c:pt>
                <c:pt idx="8">
                  <c:v>10.478186527242048</c:v>
                </c:pt>
                <c:pt idx="9">
                  <c:v>0.3334290290081349</c:v>
                </c:pt>
                <c:pt idx="10">
                  <c:v>3.06292270218074</c:v>
                </c:pt>
                <c:pt idx="11">
                  <c:v>-2.7589108000328078</c:v>
                </c:pt>
                <c:pt idx="12">
                  <c:v>4.833871887288493</c:v>
                </c:pt>
              </c:numCache>
            </c:numRef>
          </c:val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Chart'!$BF$8:$BR$8</c:f>
              <c:numCache>
                <c:ptCount val="13"/>
                <c:pt idx="0">
                  <c:v>39051</c:v>
                </c:pt>
                <c:pt idx="1">
                  <c:v>39082</c:v>
                </c:pt>
                <c:pt idx="2">
                  <c:v>39113</c:v>
                </c:pt>
                <c:pt idx="3">
                  <c:v>39141</c:v>
                </c:pt>
                <c:pt idx="4">
                  <c:v>39172</c:v>
                </c:pt>
                <c:pt idx="5">
                  <c:v>39202</c:v>
                </c:pt>
                <c:pt idx="6">
                  <c:v>39233</c:v>
                </c:pt>
                <c:pt idx="7">
                  <c:v>39263</c:v>
                </c:pt>
                <c:pt idx="8">
                  <c:v>39294</c:v>
                </c:pt>
                <c:pt idx="9">
                  <c:v>39325</c:v>
                </c:pt>
                <c:pt idx="10">
                  <c:v>39355</c:v>
                </c:pt>
                <c:pt idx="11">
                  <c:v>39386</c:v>
                </c:pt>
                <c:pt idx="12">
                  <c:v>39416</c:v>
                </c:pt>
              </c:numCache>
            </c:numRef>
          </c:cat>
          <c:val>
            <c:numRef>
              <c:f>'[2]M1 M2 Chart'!$BF$10:$BR$10</c:f>
              <c:numCache>
                <c:ptCount val="13"/>
                <c:pt idx="0">
                  <c:v>-0.570174384078555</c:v>
                </c:pt>
                <c:pt idx="1">
                  <c:v>-3.8684085489309523</c:v>
                </c:pt>
                <c:pt idx="2">
                  <c:v>6.0581762262908185</c:v>
                </c:pt>
                <c:pt idx="3">
                  <c:v>0.8055996711286546</c:v>
                </c:pt>
                <c:pt idx="4">
                  <c:v>1.2216558177303205</c:v>
                </c:pt>
                <c:pt idx="5">
                  <c:v>0.2938067770753827</c:v>
                </c:pt>
                <c:pt idx="6">
                  <c:v>0.41015757279167386</c:v>
                </c:pt>
                <c:pt idx="7">
                  <c:v>-10.514576369690575</c:v>
                </c:pt>
                <c:pt idx="8">
                  <c:v>17.23661372104195</c:v>
                </c:pt>
                <c:pt idx="9">
                  <c:v>1.5324787126917128</c:v>
                </c:pt>
                <c:pt idx="10">
                  <c:v>-4.208677112895326</c:v>
                </c:pt>
                <c:pt idx="11">
                  <c:v>-1.0470173444796127</c:v>
                </c:pt>
                <c:pt idx="12">
                  <c:v>6.128929009006668</c:v>
                </c:pt>
              </c:numCache>
            </c:numRef>
          </c:val>
        </c:ser>
        <c:axId val="653323"/>
        <c:axId val="5879908"/>
      </c:barChart>
      <c:catAx>
        <c:axId val="6533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5879908"/>
        <c:crosses val="autoZero"/>
        <c:auto val="1"/>
        <c:lblOffset val="100"/>
        <c:tickLblSkip val="1"/>
        <c:noMultiLvlLbl val="0"/>
      </c:catAx>
      <c:valAx>
        <c:axId val="5879908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25"/>
              <c:y val="0.0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653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75"/>
          <c:y val="0.942"/>
          <c:w val="0.565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60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chart'!$BE$10:$BQ$10</c:f>
              <c:numCache>
                <c:ptCount val="13"/>
                <c:pt idx="0">
                  <c:v>39051</c:v>
                </c:pt>
                <c:pt idx="1">
                  <c:v>39082</c:v>
                </c:pt>
                <c:pt idx="2">
                  <c:v>39113</c:v>
                </c:pt>
                <c:pt idx="3">
                  <c:v>39141</c:v>
                </c:pt>
                <c:pt idx="4">
                  <c:v>39172</c:v>
                </c:pt>
                <c:pt idx="5">
                  <c:v>39202</c:v>
                </c:pt>
                <c:pt idx="6">
                  <c:v>39233</c:v>
                </c:pt>
                <c:pt idx="7">
                  <c:v>39263</c:v>
                </c:pt>
                <c:pt idx="8">
                  <c:v>39294</c:v>
                </c:pt>
                <c:pt idx="9">
                  <c:v>39325</c:v>
                </c:pt>
                <c:pt idx="10">
                  <c:v>39355</c:v>
                </c:pt>
                <c:pt idx="11">
                  <c:v>39386</c:v>
                </c:pt>
                <c:pt idx="12">
                  <c:v>39416</c:v>
                </c:pt>
              </c:numCache>
            </c:numRef>
          </c:cat>
          <c:val>
            <c:numRef>
              <c:f>'[2] PSC chart'!$BE$11:$BQ$11</c:f>
              <c:numCache>
                <c:ptCount val="13"/>
                <c:pt idx="0">
                  <c:v>2.9984069201778913</c:v>
                </c:pt>
                <c:pt idx="1">
                  <c:v>0.2131848422549674</c:v>
                </c:pt>
                <c:pt idx="2">
                  <c:v>-6.01361231956756</c:v>
                </c:pt>
                <c:pt idx="3">
                  <c:v>3.468989134525586</c:v>
                </c:pt>
                <c:pt idx="4">
                  <c:v>-1.1060404066356289</c:v>
                </c:pt>
                <c:pt idx="5">
                  <c:v>-2.5080256273845984</c:v>
                </c:pt>
                <c:pt idx="6">
                  <c:v>3.6996475995276263</c:v>
                </c:pt>
                <c:pt idx="7">
                  <c:v>0.6628882707765882</c:v>
                </c:pt>
                <c:pt idx="8">
                  <c:v>1.3635344568103014</c:v>
                </c:pt>
                <c:pt idx="9">
                  <c:v>4.022601386657635</c:v>
                </c:pt>
                <c:pt idx="10">
                  <c:v>3.3917655819846364</c:v>
                </c:pt>
                <c:pt idx="11">
                  <c:v>0.5402862829611639</c:v>
                </c:pt>
                <c:pt idx="12">
                  <c:v>1.6606216184727136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chart'!$BE$10:$BQ$10</c:f>
              <c:numCache>
                <c:ptCount val="13"/>
                <c:pt idx="0">
                  <c:v>39051</c:v>
                </c:pt>
                <c:pt idx="1">
                  <c:v>39082</c:v>
                </c:pt>
                <c:pt idx="2">
                  <c:v>39113</c:v>
                </c:pt>
                <c:pt idx="3">
                  <c:v>39141</c:v>
                </c:pt>
                <c:pt idx="4">
                  <c:v>39172</c:v>
                </c:pt>
                <c:pt idx="5">
                  <c:v>39202</c:v>
                </c:pt>
                <c:pt idx="6">
                  <c:v>39233</c:v>
                </c:pt>
                <c:pt idx="7">
                  <c:v>39263</c:v>
                </c:pt>
                <c:pt idx="8">
                  <c:v>39294</c:v>
                </c:pt>
                <c:pt idx="9">
                  <c:v>39325</c:v>
                </c:pt>
                <c:pt idx="10">
                  <c:v>39355</c:v>
                </c:pt>
                <c:pt idx="11">
                  <c:v>39386</c:v>
                </c:pt>
                <c:pt idx="12">
                  <c:v>39416</c:v>
                </c:pt>
              </c:numCache>
            </c:numRef>
          </c:cat>
          <c:val>
            <c:numRef>
              <c:f>'[2] PSC chart'!$BE$12:$BQ$12</c:f>
              <c:numCache>
                <c:ptCount val="13"/>
                <c:pt idx="0">
                  <c:v>0.15550027153967988</c:v>
                </c:pt>
                <c:pt idx="1">
                  <c:v>0.6583832117324644</c:v>
                </c:pt>
                <c:pt idx="2">
                  <c:v>2.5491633077906704</c:v>
                </c:pt>
                <c:pt idx="3">
                  <c:v>1.43400578490035</c:v>
                </c:pt>
                <c:pt idx="4">
                  <c:v>0.775029504938087</c:v>
                </c:pt>
                <c:pt idx="5">
                  <c:v>0.4128579839358425</c:v>
                </c:pt>
                <c:pt idx="6">
                  <c:v>0.13441753430499181</c:v>
                </c:pt>
                <c:pt idx="7">
                  <c:v>1.6600517682014835</c:v>
                </c:pt>
                <c:pt idx="8">
                  <c:v>0.4982491808369909</c:v>
                </c:pt>
                <c:pt idx="9">
                  <c:v>0.6463034678748828</c:v>
                </c:pt>
                <c:pt idx="10">
                  <c:v>0.7472609684208106</c:v>
                </c:pt>
                <c:pt idx="11">
                  <c:v>2.2304735975610637</c:v>
                </c:pt>
                <c:pt idx="12">
                  <c:v>1.0897149613341732</c:v>
                </c:pt>
              </c:numCache>
            </c:numRef>
          </c:val>
        </c:ser>
        <c:axId val="52919173"/>
        <c:axId val="6510510"/>
      </c:barChart>
      <c:catAx>
        <c:axId val="529191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6510510"/>
        <c:crosses val="autoZero"/>
        <c:auto val="1"/>
        <c:lblOffset val="100"/>
        <c:tickLblSkip val="1"/>
        <c:noMultiLvlLbl val="0"/>
      </c:catAx>
      <c:valAx>
        <c:axId val="6510510"/>
        <c:scaling>
          <c:orientation val="minMax"/>
          <c:max val="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52919173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3225"/>
          <c:w val="0.549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0625"/>
          <c:w val="0.9595"/>
          <c:h val="0.93675"/>
        </c:manualLayout>
      </c:layout>
      <c:lineChart>
        <c:grouping val="standard"/>
        <c:varyColors val="0"/>
        <c:ser>
          <c:idx val="2"/>
          <c:order val="0"/>
          <c:tx>
            <c:strRef>
              <c:f>'[2]M1 M2 Chart'!$A$11</c:f>
              <c:strCache>
                <c:ptCount val="1"/>
                <c:pt idx="0">
                  <c:v>M2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Chart'!$O$7:$BR$7</c:f>
              <c:numCache>
                <c:ptCount val="56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'[2]M1 M2 Chart'!$O$11:$BR$11</c:f>
              <c:numCache>
                <c:ptCount val="56"/>
                <c:pt idx="0">
                  <c:v>2.1126208576344614</c:v>
                </c:pt>
                <c:pt idx="1">
                  <c:v>-2.620541246225704</c:v>
                </c:pt>
                <c:pt idx="2">
                  <c:v>-3.7359655237236264</c:v>
                </c:pt>
                <c:pt idx="3">
                  <c:v>2.4087467164809957</c:v>
                </c:pt>
                <c:pt idx="4">
                  <c:v>1.5633294229420633</c:v>
                </c:pt>
                <c:pt idx="5">
                  <c:v>9.405973739412145</c:v>
                </c:pt>
                <c:pt idx="6">
                  <c:v>-4.021447594341744</c:v>
                </c:pt>
                <c:pt idx="7">
                  <c:v>-3.431972305489767</c:v>
                </c:pt>
                <c:pt idx="8">
                  <c:v>3.3261284618653875</c:v>
                </c:pt>
                <c:pt idx="9">
                  <c:v>6.708472586799004</c:v>
                </c:pt>
                <c:pt idx="10">
                  <c:v>9.162929365199345</c:v>
                </c:pt>
                <c:pt idx="11">
                  <c:v>14.103107824172808</c:v>
                </c:pt>
                <c:pt idx="12">
                  <c:v>10.1157503826273</c:v>
                </c:pt>
                <c:pt idx="13">
                  <c:v>8.043431517454408</c:v>
                </c:pt>
                <c:pt idx="14">
                  <c:v>9.029904884573552</c:v>
                </c:pt>
                <c:pt idx="15">
                  <c:v>7.623626196917267</c:v>
                </c:pt>
                <c:pt idx="16">
                  <c:v>14.147864601254994</c:v>
                </c:pt>
                <c:pt idx="17">
                  <c:v>13.399013004805251</c:v>
                </c:pt>
                <c:pt idx="18">
                  <c:v>26.91471820167706</c:v>
                </c:pt>
                <c:pt idx="19">
                  <c:v>28.43292705997598</c:v>
                </c:pt>
                <c:pt idx="20">
                  <c:v>23.082050291463833</c:v>
                </c:pt>
                <c:pt idx="21">
                  <c:v>16.538687155325153</c:v>
                </c:pt>
                <c:pt idx="22">
                  <c:v>15.303727323478943</c:v>
                </c:pt>
                <c:pt idx="23">
                  <c:v>17.334716730838885</c:v>
                </c:pt>
                <c:pt idx="24">
                  <c:v>21.901284041668706</c:v>
                </c:pt>
                <c:pt idx="25">
                  <c:v>20.75920820157945</c:v>
                </c:pt>
                <c:pt idx="26">
                  <c:v>23.18722087156746</c:v>
                </c:pt>
                <c:pt idx="27">
                  <c:v>22.591461060481823</c:v>
                </c:pt>
                <c:pt idx="28">
                  <c:v>14.30857884274027</c:v>
                </c:pt>
                <c:pt idx="29">
                  <c:v>8.740192688647696</c:v>
                </c:pt>
                <c:pt idx="30">
                  <c:v>5.600245642508166</c:v>
                </c:pt>
                <c:pt idx="31">
                  <c:v>3.486411400545582</c:v>
                </c:pt>
                <c:pt idx="32">
                  <c:v>6.957496298699314</c:v>
                </c:pt>
                <c:pt idx="33">
                  <c:v>10.467469385872825</c:v>
                </c:pt>
                <c:pt idx="34">
                  <c:v>9.32170177349062</c:v>
                </c:pt>
                <c:pt idx="35">
                  <c:v>13.058876176810239</c:v>
                </c:pt>
                <c:pt idx="36">
                  <c:v>11.722179750339523</c:v>
                </c:pt>
                <c:pt idx="37">
                  <c:v>17.96161978101182</c:v>
                </c:pt>
                <c:pt idx="38">
                  <c:v>22.341854854594366</c:v>
                </c:pt>
                <c:pt idx="39">
                  <c:v>21.50861483567151</c:v>
                </c:pt>
                <c:pt idx="40">
                  <c:v>21.24580440769997</c:v>
                </c:pt>
                <c:pt idx="41">
                  <c:v>28.11691526946669</c:v>
                </c:pt>
                <c:pt idx="42">
                  <c:v>30.688964057060687</c:v>
                </c:pt>
                <c:pt idx="43">
                  <c:v>33.51784933593404</c:v>
                </c:pt>
                <c:pt idx="44">
                  <c:v>33.27292546248745</c:v>
                </c:pt>
                <c:pt idx="45">
                  <c:v>36.24588584758198</c:v>
                </c:pt>
                <c:pt idx="46">
                  <c:v>31.9119765500753</c:v>
                </c:pt>
                <c:pt idx="47">
                  <c:v>20.451213792334176</c:v>
                </c:pt>
                <c:pt idx="48">
                  <c:v>20.57619596874494</c:v>
                </c:pt>
                <c:pt idx="49">
                  <c:v>19.18412093758493</c:v>
                </c:pt>
                <c:pt idx="50">
                  <c:v>9.481877583444891</c:v>
                </c:pt>
                <c:pt idx="51">
                  <c:v>18.507489126733244</c:v>
                </c:pt>
                <c:pt idx="52">
                  <c:v>20.882745498877515</c:v>
                </c:pt>
                <c:pt idx="53">
                  <c:v>19.474266018797934</c:v>
                </c:pt>
                <c:pt idx="54">
                  <c:v>12.384320244783757</c:v>
                </c:pt>
                <c:pt idx="55">
                  <c:v>15.840374914001279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'[2]M1 M2 Chart'!$A$12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Chart'!$O$7:$BR$7</c:f>
              <c:numCache>
                <c:ptCount val="56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'[2]M1 M2 Chart'!$O$12:$BR$12</c:f>
              <c:numCache>
                <c:ptCount val="56"/>
                <c:pt idx="0">
                  <c:v>0.27115300018753263</c:v>
                </c:pt>
                <c:pt idx="1">
                  <c:v>-2.8293043869405716</c:v>
                </c:pt>
                <c:pt idx="2">
                  <c:v>-1.7496457021688168</c:v>
                </c:pt>
                <c:pt idx="3">
                  <c:v>6.478572386708736</c:v>
                </c:pt>
                <c:pt idx="4">
                  <c:v>1.1123876549300602</c:v>
                </c:pt>
                <c:pt idx="5">
                  <c:v>11.794539144626107</c:v>
                </c:pt>
                <c:pt idx="6">
                  <c:v>3.6740719431245994</c:v>
                </c:pt>
                <c:pt idx="7">
                  <c:v>8.541876030819182</c:v>
                </c:pt>
                <c:pt idx="8">
                  <c:v>13.803564310522354</c:v>
                </c:pt>
                <c:pt idx="9">
                  <c:v>12.17695923224616</c:v>
                </c:pt>
                <c:pt idx="10">
                  <c:v>14.809586621437166</c:v>
                </c:pt>
                <c:pt idx="11">
                  <c:v>24.860442931710324</c:v>
                </c:pt>
                <c:pt idx="12">
                  <c:v>25.778812990231565</c:v>
                </c:pt>
                <c:pt idx="13">
                  <c:v>19.045709350453908</c:v>
                </c:pt>
                <c:pt idx="14">
                  <c:v>16.660896288820425</c:v>
                </c:pt>
                <c:pt idx="15">
                  <c:v>9.264785123226286</c:v>
                </c:pt>
                <c:pt idx="16">
                  <c:v>20.591988272940128</c:v>
                </c:pt>
                <c:pt idx="17">
                  <c:v>15.068787077717605</c:v>
                </c:pt>
                <c:pt idx="18">
                  <c:v>24.3479266700754</c:v>
                </c:pt>
                <c:pt idx="19">
                  <c:v>25.80113464150362</c:v>
                </c:pt>
                <c:pt idx="20">
                  <c:v>21.770389118274764</c:v>
                </c:pt>
                <c:pt idx="21">
                  <c:v>12.225875344938842</c:v>
                </c:pt>
                <c:pt idx="22">
                  <c:v>6.595013046120579</c:v>
                </c:pt>
                <c:pt idx="23">
                  <c:v>15.886860938538478</c:v>
                </c:pt>
                <c:pt idx="24">
                  <c:v>9.924449446070735</c:v>
                </c:pt>
                <c:pt idx="25">
                  <c:v>15.532440700348676</c:v>
                </c:pt>
                <c:pt idx="26">
                  <c:v>16.637004293188074</c:v>
                </c:pt>
                <c:pt idx="27">
                  <c:v>22.66878572661799</c:v>
                </c:pt>
                <c:pt idx="28">
                  <c:v>11.106527694039181</c:v>
                </c:pt>
                <c:pt idx="29">
                  <c:v>8.30485210612106</c:v>
                </c:pt>
                <c:pt idx="30">
                  <c:v>1.7427824178059406</c:v>
                </c:pt>
                <c:pt idx="31">
                  <c:v>-3.511051013186294</c:v>
                </c:pt>
                <c:pt idx="32">
                  <c:v>0.9312304565954364</c:v>
                </c:pt>
                <c:pt idx="33">
                  <c:v>13.166114327041779</c:v>
                </c:pt>
                <c:pt idx="34">
                  <c:v>16.95502495386894</c:v>
                </c:pt>
                <c:pt idx="35">
                  <c:v>16.166660434611096</c:v>
                </c:pt>
                <c:pt idx="36">
                  <c:v>18.93799654870505</c:v>
                </c:pt>
                <c:pt idx="37">
                  <c:v>19.876495173907863</c:v>
                </c:pt>
                <c:pt idx="38">
                  <c:v>24.00802385012584</c:v>
                </c:pt>
                <c:pt idx="39">
                  <c:v>21.77549276056539</c:v>
                </c:pt>
                <c:pt idx="40">
                  <c:v>21.806119180287585</c:v>
                </c:pt>
                <c:pt idx="41">
                  <c:v>30.352043064481972</c:v>
                </c:pt>
                <c:pt idx="42">
                  <c:v>45.595760275382325</c:v>
                </c:pt>
                <c:pt idx="43">
                  <c:v>48.84197654846546</c:v>
                </c:pt>
                <c:pt idx="44">
                  <c:v>42.232112070127755</c:v>
                </c:pt>
                <c:pt idx="45">
                  <c:v>45.751931333622615</c:v>
                </c:pt>
                <c:pt idx="46">
                  <c:v>39.9726087567036</c:v>
                </c:pt>
                <c:pt idx="47">
                  <c:v>29.676602336435</c:v>
                </c:pt>
                <c:pt idx="48">
                  <c:v>29.97275095388825</c:v>
                </c:pt>
                <c:pt idx="49">
                  <c:v>25.39717055363792</c:v>
                </c:pt>
                <c:pt idx="50">
                  <c:v>10.488377789332132</c:v>
                </c:pt>
                <c:pt idx="51">
                  <c:v>25.611306640508612</c:v>
                </c:pt>
                <c:pt idx="52">
                  <c:v>29.187098356069065</c:v>
                </c:pt>
                <c:pt idx="53">
                  <c:v>18.555388027698847</c:v>
                </c:pt>
                <c:pt idx="54">
                  <c:v>5.1749797268932625</c:v>
                </c:pt>
                <c:pt idx="55">
                  <c:v>12.261163969816021</c:v>
                </c:pt>
              </c:numCache>
            </c:numRef>
          </c:val>
          <c:smooth val="1"/>
        </c:ser>
        <c:marker val="1"/>
        <c:axId val="58594591"/>
        <c:axId val="57589272"/>
      </c:line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0000"/>
                </a:solidFill>
              </a:defRPr>
            </a:pPr>
          </a:p>
        </c:txPr>
        <c:crossAx val="57589272"/>
        <c:crosses val="autoZero"/>
        <c:auto val="1"/>
        <c:lblOffset val="100"/>
        <c:tickLblSkip val="3"/>
        <c:noMultiLvlLbl val="0"/>
      </c:catAx>
      <c:valAx>
        <c:axId val="57589272"/>
        <c:scaling>
          <c:orientation val="minMax"/>
          <c:max val="5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75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0000"/>
                </a:solidFill>
              </a:defRPr>
            </a:pPr>
          </a:p>
        </c:txPr>
        <c:crossAx val="58594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825"/>
          <c:y val="0.9305"/>
          <c:w val="0.52625"/>
          <c:h val="0.05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25"/>
          <c:w val="0.9592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chart'!$B$16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chart'!$P$14:$BS$14</c:f>
              <c:numCache>
                <c:ptCount val="56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 PSC chart'!$P$16:$BS$16</c:f>
              <c:numCache>
                <c:ptCount val="56"/>
                <c:pt idx="0">
                  <c:v>21.855711302087634</c:v>
                </c:pt>
                <c:pt idx="1">
                  <c:v>17.143871797957853</c:v>
                </c:pt>
                <c:pt idx="2">
                  <c:v>18.172902295613756</c:v>
                </c:pt>
                <c:pt idx="3">
                  <c:v>27.563859632820396</c:v>
                </c:pt>
                <c:pt idx="4">
                  <c:v>24.835072451579517</c:v>
                </c:pt>
                <c:pt idx="5">
                  <c:v>21.981468662268867</c:v>
                </c:pt>
                <c:pt idx="6">
                  <c:v>14.722842673863806</c:v>
                </c:pt>
                <c:pt idx="7">
                  <c:v>16.057549846529227</c:v>
                </c:pt>
                <c:pt idx="8">
                  <c:v>19.961269145292107</c:v>
                </c:pt>
                <c:pt idx="9">
                  <c:v>20.453958221035194</c:v>
                </c:pt>
                <c:pt idx="10">
                  <c:v>20.014987647067283</c:v>
                </c:pt>
                <c:pt idx="11">
                  <c:v>18.358405189936235</c:v>
                </c:pt>
                <c:pt idx="12">
                  <c:v>13.083722256054223</c:v>
                </c:pt>
                <c:pt idx="13">
                  <c:v>19.109176241175934</c:v>
                </c:pt>
                <c:pt idx="14">
                  <c:v>18.293631304555543</c:v>
                </c:pt>
                <c:pt idx="15">
                  <c:v>18.92960243506075</c:v>
                </c:pt>
                <c:pt idx="16">
                  <c:v>21.59050090268985</c:v>
                </c:pt>
                <c:pt idx="17">
                  <c:v>22.48206231722378</c:v>
                </c:pt>
                <c:pt idx="18">
                  <c:v>26.45756592379212</c:v>
                </c:pt>
                <c:pt idx="19">
                  <c:v>22.78900324586196</c:v>
                </c:pt>
                <c:pt idx="20">
                  <c:v>22.469875252343385</c:v>
                </c:pt>
                <c:pt idx="21">
                  <c:v>21.642055652360025</c:v>
                </c:pt>
                <c:pt idx="22">
                  <c:v>18.676243470110734</c:v>
                </c:pt>
                <c:pt idx="23">
                  <c:v>17.541837286935706</c:v>
                </c:pt>
                <c:pt idx="24">
                  <c:v>22.41024885984043</c:v>
                </c:pt>
                <c:pt idx="25">
                  <c:v>19.054370209530845</c:v>
                </c:pt>
                <c:pt idx="26">
                  <c:v>20.84745909882378</c:v>
                </c:pt>
                <c:pt idx="27">
                  <c:v>20.44798163161769</c:v>
                </c:pt>
                <c:pt idx="28">
                  <c:v>20.063741152264868</c:v>
                </c:pt>
                <c:pt idx="29">
                  <c:v>19.179013225197146</c:v>
                </c:pt>
                <c:pt idx="30">
                  <c:v>17.271640982355947</c:v>
                </c:pt>
                <c:pt idx="31">
                  <c:v>17.23534428133733</c:v>
                </c:pt>
                <c:pt idx="32">
                  <c:v>23.59044224897467</c:v>
                </c:pt>
                <c:pt idx="33">
                  <c:v>18.716895349796566</c:v>
                </c:pt>
                <c:pt idx="34">
                  <c:v>19.3695364739865</c:v>
                </c:pt>
                <c:pt idx="35">
                  <c:v>19.34718521906825</c:v>
                </c:pt>
                <c:pt idx="36">
                  <c:v>13.837898231517887</c:v>
                </c:pt>
                <c:pt idx="37">
                  <c:v>14.78128141706128</c:v>
                </c:pt>
                <c:pt idx="38">
                  <c:v>15.281463963110983</c:v>
                </c:pt>
                <c:pt idx="39">
                  <c:v>13.527803529135873</c:v>
                </c:pt>
                <c:pt idx="40">
                  <c:v>13.800807703584814</c:v>
                </c:pt>
                <c:pt idx="41">
                  <c:v>11.969343802905993</c:v>
                </c:pt>
                <c:pt idx="42">
                  <c:v>11.111313543103517</c:v>
                </c:pt>
                <c:pt idx="43">
                  <c:v>11.50567701955221</c:v>
                </c:pt>
                <c:pt idx="44">
                  <c:v>4.733928512796796</c:v>
                </c:pt>
                <c:pt idx="45">
                  <c:v>4.259368067903789</c:v>
                </c:pt>
                <c:pt idx="46">
                  <c:v>4.882322530361565</c:v>
                </c:pt>
                <c:pt idx="47">
                  <c:v>2.8887908490402405</c:v>
                </c:pt>
                <c:pt idx="48">
                  <c:v>3.1335287428281324</c:v>
                </c:pt>
                <c:pt idx="49">
                  <c:v>2.466533409315342</c:v>
                </c:pt>
                <c:pt idx="50">
                  <c:v>0.4752296252192467</c:v>
                </c:pt>
                <c:pt idx="51">
                  <c:v>3.629437672415049</c:v>
                </c:pt>
                <c:pt idx="52">
                  <c:v>5.107197784512811</c:v>
                </c:pt>
                <c:pt idx="53">
                  <c:v>8.444783546722638</c:v>
                </c:pt>
                <c:pt idx="54">
                  <c:v>10.726446036993126</c:v>
                </c:pt>
                <c:pt idx="55">
                  <c:v>9.288285812504043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chart'!$B$17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chart'!$P$14:$BS$14</c:f>
              <c:numCache>
                <c:ptCount val="56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 PSC chart'!$P$17:$BS$17</c:f>
              <c:numCache>
                <c:ptCount val="56"/>
                <c:pt idx="0">
                  <c:v>21.0727883181058</c:v>
                </c:pt>
                <c:pt idx="1">
                  <c:v>18.107767003028794</c:v>
                </c:pt>
                <c:pt idx="2">
                  <c:v>22.665124132512158</c:v>
                </c:pt>
                <c:pt idx="3">
                  <c:v>20.533327441829368</c:v>
                </c:pt>
                <c:pt idx="4">
                  <c:v>20.791014595736616</c:v>
                </c:pt>
                <c:pt idx="5">
                  <c:v>20.09744814308888</c:v>
                </c:pt>
                <c:pt idx="6">
                  <c:v>15.3944804730019</c:v>
                </c:pt>
                <c:pt idx="7">
                  <c:v>17.108406428779745</c:v>
                </c:pt>
                <c:pt idx="8">
                  <c:v>15.40396570229852</c:v>
                </c:pt>
                <c:pt idx="9">
                  <c:v>17.525095281771076</c:v>
                </c:pt>
                <c:pt idx="10">
                  <c:v>17.514959321924213</c:v>
                </c:pt>
                <c:pt idx="11">
                  <c:v>17.533739746734184</c:v>
                </c:pt>
                <c:pt idx="12">
                  <c:v>17.242341921412706</c:v>
                </c:pt>
                <c:pt idx="13">
                  <c:v>20.742112326714015</c:v>
                </c:pt>
                <c:pt idx="14">
                  <c:v>17.163437315082174</c:v>
                </c:pt>
                <c:pt idx="15">
                  <c:v>19.4446130519431</c:v>
                </c:pt>
                <c:pt idx="16">
                  <c:v>20.79599151003212</c:v>
                </c:pt>
                <c:pt idx="17">
                  <c:v>20.450938930910425</c:v>
                </c:pt>
                <c:pt idx="18">
                  <c:v>21.675133695843478</c:v>
                </c:pt>
                <c:pt idx="19">
                  <c:v>19.925113195008496</c:v>
                </c:pt>
                <c:pt idx="20">
                  <c:v>19.900391907560014</c:v>
                </c:pt>
                <c:pt idx="21">
                  <c:v>20.124941677147802</c:v>
                </c:pt>
                <c:pt idx="22">
                  <c:v>18.43953366109137</c:v>
                </c:pt>
                <c:pt idx="23">
                  <c:v>17.32217877519808</c:v>
                </c:pt>
                <c:pt idx="24">
                  <c:v>18.255467118152392</c:v>
                </c:pt>
                <c:pt idx="25">
                  <c:v>16.653269981874743</c:v>
                </c:pt>
                <c:pt idx="26">
                  <c:v>16.31028713895807</c:v>
                </c:pt>
                <c:pt idx="27">
                  <c:v>17.315428056736764</c:v>
                </c:pt>
                <c:pt idx="28">
                  <c:v>15.999384107757844</c:v>
                </c:pt>
                <c:pt idx="29">
                  <c:v>16.150117974657395</c:v>
                </c:pt>
                <c:pt idx="30">
                  <c:v>15.711393084983182</c:v>
                </c:pt>
                <c:pt idx="31">
                  <c:v>16.05589799242577</c:v>
                </c:pt>
                <c:pt idx="32">
                  <c:v>21.41816096137786</c:v>
                </c:pt>
                <c:pt idx="33">
                  <c:v>15.504992800843546</c:v>
                </c:pt>
                <c:pt idx="34">
                  <c:v>18.55663655485431</c:v>
                </c:pt>
                <c:pt idx="35">
                  <c:v>18.263674993225184</c:v>
                </c:pt>
                <c:pt idx="36">
                  <c:v>17.305102600240936</c:v>
                </c:pt>
                <c:pt idx="37">
                  <c:v>16.89334773676143</c:v>
                </c:pt>
                <c:pt idx="38">
                  <c:v>17.892645752916714</c:v>
                </c:pt>
                <c:pt idx="39">
                  <c:v>18.520542153419395</c:v>
                </c:pt>
                <c:pt idx="40">
                  <c:v>18.146228563752615</c:v>
                </c:pt>
                <c:pt idx="41">
                  <c:v>16.373563476355997</c:v>
                </c:pt>
                <c:pt idx="42">
                  <c:v>16.6952286507554</c:v>
                </c:pt>
                <c:pt idx="43">
                  <c:v>14.493460988593782</c:v>
                </c:pt>
                <c:pt idx="44">
                  <c:v>9.154562432737496</c:v>
                </c:pt>
                <c:pt idx="45">
                  <c:v>15.623271846441222</c:v>
                </c:pt>
                <c:pt idx="46">
                  <c:v>13.995557765570563</c:v>
                </c:pt>
                <c:pt idx="47">
                  <c:v>15.146293916378209</c:v>
                </c:pt>
                <c:pt idx="48">
                  <c:v>13.423418211811558</c:v>
                </c:pt>
                <c:pt idx="49">
                  <c:v>11.707013468188627</c:v>
                </c:pt>
                <c:pt idx="50">
                  <c:v>12.962526151365283</c:v>
                </c:pt>
                <c:pt idx="51">
                  <c:v>10.515857922774114</c:v>
                </c:pt>
                <c:pt idx="52">
                  <c:v>10.94617467796916</c:v>
                </c:pt>
                <c:pt idx="53">
                  <c:v>11.710975440178258</c:v>
                </c:pt>
                <c:pt idx="54">
                  <c:v>12.534675482952787</c:v>
                </c:pt>
                <c:pt idx="55">
                  <c:v>13.584358692186429</c:v>
                </c:pt>
              </c:numCache>
            </c:numRef>
          </c:val>
          <c:smooth val="1"/>
        </c:ser>
        <c:marker val="1"/>
        <c:axId val="48541401"/>
        <c:axId val="34219426"/>
      </c:line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0000"/>
                </a:solidFill>
              </a:defRPr>
            </a:pPr>
          </a:p>
        </c:txPr>
        <c:crossAx val="34219426"/>
        <c:crosses val="autoZero"/>
        <c:auto val="1"/>
        <c:lblOffset val="100"/>
        <c:tickLblSkip val="3"/>
        <c:noMultiLvlLbl val="0"/>
      </c:catAx>
      <c:valAx>
        <c:axId val="34219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48541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975"/>
          <c:y val="0.93075"/>
          <c:w val="0.72325"/>
          <c:h val="0.0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0025"/>
          <c:w val="0.95375"/>
          <c:h val="0.931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'[4]Data'!$C$199:$C$211</c:f>
              <c:numCache>
                <c:ptCount val="13"/>
                <c:pt idx="0">
                  <c:v>39023</c:v>
                </c:pt>
                <c:pt idx="1">
                  <c:v>39053</c:v>
                </c:pt>
                <c:pt idx="2">
                  <c:v>39084</c:v>
                </c:pt>
                <c:pt idx="3">
                  <c:v>39115</c:v>
                </c:pt>
                <c:pt idx="4">
                  <c:v>39143</c:v>
                </c:pt>
                <c:pt idx="5">
                  <c:v>39174</c:v>
                </c:pt>
                <c:pt idx="6">
                  <c:v>39204</c:v>
                </c:pt>
                <c:pt idx="7">
                  <c:v>39235</c:v>
                </c:pt>
                <c:pt idx="8">
                  <c:v>39265</c:v>
                </c:pt>
                <c:pt idx="9">
                  <c:v>39296</c:v>
                </c:pt>
                <c:pt idx="10">
                  <c:v>39327</c:v>
                </c:pt>
                <c:pt idx="11">
                  <c:v>39357</c:v>
                </c:pt>
                <c:pt idx="12">
                  <c:v>39388</c:v>
                </c:pt>
              </c:numCache>
            </c:numRef>
          </c:cat>
          <c:val>
            <c:numRef>
              <c:f>'[4]Data'!$E$199:$E$211</c:f>
              <c:numCache>
                <c:ptCount val="13"/>
                <c:pt idx="0">
                  <c:v>8.5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9.5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10.5</c:v>
                </c:pt>
                <c:pt idx="12">
                  <c:v>10.5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'[4]Data'!$C$199:$C$211</c:f>
              <c:numCache>
                <c:ptCount val="13"/>
                <c:pt idx="0">
                  <c:v>39023</c:v>
                </c:pt>
                <c:pt idx="1">
                  <c:v>39053</c:v>
                </c:pt>
                <c:pt idx="2">
                  <c:v>39084</c:v>
                </c:pt>
                <c:pt idx="3">
                  <c:v>39115</c:v>
                </c:pt>
                <c:pt idx="4">
                  <c:v>39143</c:v>
                </c:pt>
                <c:pt idx="5">
                  <c:v>39174</c:v>
                </c:pt>
                <c:pt idx="6">
                  <c:v>39204</c:v>
                </c:pt>
                <c:pt idx="7">
                  <c:v>39235</c:v>
                </c:pt>
                <c:pt idx="8">
                  <c:v>39265</c:v>
                </c:pt>
                <c:pt idx="9">
                  <c:v>39296</c:v>
                </c:pt>
                <c:pt idx="10">
                  <c:v>39327</c:v>
                </c:pt>
                <c:pt idx="11">
                  <c:v>39357</c:v>
                </c:pt>
                <c:pt idx="12">
                  <c:v>39388</c:v>
                </c:pt>
              </c:numCache>
            </c:numRef>
          </c:cat>
          <c:val>
            <c:numRef>
              <c:f>'[4]Data'!$J$199:$J$211</c:f>
              <c:numCache>
                <c:ptCount val="13"/>
                <c:pt idx="0">
                  <c:v>6.64</c:v>
                </c:pt>
                <c:pt idx="1">
                  <c:v>6.85</c:v>
                </c:pt>
                <c:pt idx="2">
                  <c:v>6.98</c:v>
                </c:pt>
                <c:pt idx="3">
                  <c:v>7.38</c:v>
                </c:pt>
                <c:pt idx="4">
                  <c:v>7.22</c:v>
                </c:pt>
                <c:pt idx="5">
                  <c:v>7.18</c:v>
                </c:pt>
                <c:pt idx="6">
                  <c:v>7.34</c:v>
                </c:pt>
                <c:pt idx="7">
                  <c:v>7.24</c:v>
                </c:pt>
                <c:pt idx="8">
                  <c:v>7.49</c:v>
                </c:pt>
                <c:pt idx="9">
                  <c:v>7.68</c:v>
                </c:pt>
                <c:pt idx="10">
                  <c:v>7.74</c:v>
                </c:pt>
                <c:pt idx="11">
                  <c:v>7.95</c:v>
                </c:pt>
                <c:pt idx="12">
                  <c:v>8.08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'[4]Data'!$C$199:$C$211</c:f>
              <c:numCache>
                <c:ptCount val="13"/>
                <c:pt idx="0">
                  <c:v>39023</c:v>
                </c:pt>
                <c:pt idx="1">
                  <c:v>39053</c:v>
                </c:pt>
                <c:pt idx="2">
                  <c:v>39084</c:v>
                </c:pt>
                <c:pt idx="3">
                  <c:v>39115</c:v>
                </c:pt>
                <c:pt idx="4">
                  <c:v>39143</c:v>
                </c:pt>
                <c:pt idx="5">
                  <c:v>39174</c:v>
                </c:pt>
                <c:pt idx="6">
                  <c:v>39204</c:v>
                </c:pt>
                <c:pt idx="7">
                  <c:v>39235</c:v>
                </c:pt>
                <c:pt idx="8">
                  <c:v>39265</c:v>
                </c:pt>
                <c:pt idx="9">
                  <c:v>39296</c:v>
                </c:pt>
                <c:pt idx="10">
                  <c:v>39327</c:v>
                </c:pt>
                <c:pt idx="11">
                  <c:v>39357</c:v>
                </c:pt>
                <c:pt idx="12">
                  <c:v>39388</c:v>
                </c:pt>
              </c:numCache>
            </c:numRef>
          </c:cat>
          <c:val>
            <c:numRef>
              <c:f>'[4]Data'!$K$199:$K$211</c:f>
              <c:numCache>
                <c:ptCount val="13"/>
                <c:pt idx="0">
                  <c:v>12.2</c:v>
                </c:pt>
                <c:pt idx="1">
                  <c:v>12.43</c:v>
                </c:pt>
                <c:pt idx="2">
                  <c:v>12.63</c:v>
                </c:pt>
                <c:pt idx="3">
                  <c:v>12.32</c:v>
                </c:pt>
                <c:pt idx="4">
                  <c:v>11.9</c:v>
                </c:pt>
                <c:pt idx="5">
                  <c:v>12.44</c:v>
                </c:pt>
                <c:pt idx="6">
                  <c:v>12.65</c:v>
                </c:pt>
                <c:pt idx="7">
                  <c:v>12.22</c:v>
                </c:pt>
                <c:pt idx="8">
                  <c:v>13.03</c:v>
                </c:pt>
                <c:pt idx="9">
                  <c:v>12.85</c:v>
                </c:pt>
                <c:pt idx="10">
                  <c:v>12.89</c:v>
                </c:pt>
                <c:pt idx="11">
                  <c:v>13.56</c:v>
                </c:pt>
                <c:pt idx="12">
                  <c:v>14.53</c:v>
                </c:pt>
              </c:numCache>
            </c:numRef>
          </c:val>
          <c:smooth val="0"/>
        </c:ser>
        <c:marker val="1"/>
        <c:axId val="39539379"/>
        <c:axId val="20310092"/>
      </c:lineChart>
      <c:catAx>
        <c:axId val="3953937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20310092"/>
        <c:crossesAt val="0"/>
        <c:auto val="1"/>
        <c:lblOffset val="100"/>
        <c:tickLblSkip val="1"/>
        <c:noMultiLvlLbl val="0"/>
      </c:catAx>
      <c:valAx>
        <c:axId val="20310092"/>
        <c:scaling>
          <c:orientation val="minMax"/>
          <c:max val="1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"/>
              <c:y val="-0.012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39539379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9"/>
          <c:y val="0.9225"/>
          <c:w val="0.592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55"/>
          <c:h val="0.944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indices'!$B$133:$B$145</c:f>
              <c:numCache>
                <c:ptCount val="13"/>
                <c:pt idx="0">
                  <c:v>39051</c:v>
                </c:pt>
                <c:pt idx="1">
                  <c:v>39082</c:v>
                </c:pt>
                <c:pt idx="2">
                  <c:v>39113</c:v>
                </c:pt>
                <c:pt idx="3">
                  <c:v>39141</c:v>
                </c:pt>
                <c:pt idx="4">
                  <c:v>39172</c:v>
                </c:pt>
                <c:pt idx="5">
                  <c:v>39202</c:v>
                </c:pt>
                <c:pt idx="6">
                  <c:v>39233</c:v>
                </c:pt>
                <c:pt idx="7">
                  <c:v>39263</c:v>
                </c:pt>
                <c:pt idx="8">
                  <c:v>39294</c:v>
                </c:pt>
                <c:pt idx="9">
                  <c:v>39325</c:v>
                </c:pt>
                <c:pt idx="10">
                  <c:v>39355</c:v>
                </c:pt>
                <c:pt idx="11">
                  <c:v>39386</c:v>
                </c:pt>
                <c:pt idx="12">
                  <c:v>39416</c:v>
                </c:pt>
              </c:numCache>
            </c:numRef>
          </c:cat>
          <c:val>
            <c:numRef>
              <c:f>'[5]Monthly indices'!$C$133:$C$145</c:f>
              <c:numCache>
                <c:ptCount val="13"/>
                <c:pt idx="0">
                  <c:v>792.6</c:v>
                </c:pt>
                <c:pt idx="1">
                  <c:v>828</c:v>
                </c:pt>
                <c:pt idx="2">
                  <c:v>838.25</c:v>
                </c:pt>
                <c:pt idx="3">
                  <c:v>852.78</c:v>
                </c:pt>
                <c:pt idx="4">
                  <c:v>911.26</c:v>
                </c:pt>
                <c:pt idx="5">
                  <c:v>935</c:v>
                </c:pt>
                <c:pt idx="6">
                  <c:v>977</c:v>
                </c:pt>
                <c:pt idx="7">
                  <c:v>936</c:v>
                </c:pt>
                <c:pt idx="8">
                  <c:v>936</c:v>
                </c:pt>
                <c:pt idx="9">
                  <c:v>927</c:v>
                </c:pt>
                <c:pt idx="10">
                  <c:v>972</c:v>
                </c:pt>
                <c:pt idx="11">
                  <c:v>1016</c:v>
                </c:pt>
                <c:pt idx="12">
                  <c:v>996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8573101"/>
        <c:axId val="34504726"/>
      </c:lineChart>
      <c:lineChart>
        <c:grouping val="standard"/>
        <c:varyColors val="0"/>
        <c:ser>
          <c:idx val="1"/>
          <c:order val="1"/>
          <c:tx>
            <c:strRef>
              <c:f>'[5]Monthly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indices'!$B$133:$B$145</c:f>
              <c:numCache>
                <c:ptCount val="13"/>
                <c:pt idx="0">
                  <c:v>39051</c:v>
                </c:pt>
                <c:pt idx="1">
                  <c:v>39082</c:v>
                </c:pt>
                <c:pt idx="2">
                  <c:v>39113</c:v>
                </c:pt>
                <c:pt idx="3">
                  <c:v>39141</c:v>
                </c:pt>
                <c:pt idx="4">
                  <c:v>39172</c:v>
                </c:pt>
                <c:pt idx="5">
                  <c:v>39202</c:v>
                </c:pt>
                <c:pt idx="6">
                  <c:v>39233</c:v>
                </c:pt>
                <c:pt idx="7">
                  <c:v>39263</c:v>
                </c:pt>
                <c:pt idx="8">
                  <c:v>39294</c:v>
                </c:pt>
                <c:pt idx="9">
                  <c:v>39325</c:v>
                </c:pt>
                <c:pt idx="10">
                  <c:v>39355</c:v>
                </c:pt>
                <c:pt idx="11">
                  <c:v>39386</c:v>
                </c:pt>
                <c:pt idx="12">
                  <c:v>39416</c:v>
                </c:pt>
              </c:numCache>
            </c:numRef>
          </c:cat>
          <c:val>
            <c:numRef>
              <c:f>'[5]Monthly indices'!$D$133:$D$145</c:f>
              <c:numCache>
                <c:ptCount val="13"/>
                <c:pt idx="0">
                  <c:v>88.1</c:v>
                </c:pt>
                <c:pt idx="1">
                  <c:v>91</c:v>
                </c:pt>
                <c:pt idx="2">
                  <c:v>92.2</c:v>
                </c:pt>
                <c:pt idx="3">
                  <c:v>94.25</c:v>
                </c:pt>
                <c:pt idx="4">
                  <c:v>101.61</c:v>
                </c:pt>
                <c:pt idx="5">
                  <c:v>101.61</c:v>
                </c:pt>
                <c:pt idx="6">
                  <c:v>104</c:v>
                </c:pt>
                <c:pt idx="7">
                  <c:v>105</c:v>
                </c:pt>
                <c:pt idx="8">
                  <c:v>108</c:v>
                </c:pt>
                <c:pt idx="9">
                  <c:v>109</c:v>
                </c:pt>
                <c:pt idx="10">
                  <c:v>116</c:v>
                </c:pt>
                <c:pt idx="11">
                  <c:v>129</c:v>
                </c:pt>
                <c:pt idx="12">
                  <c:v>132</c:v>
                </c:pt>
              </c:numCache>
            </c:numRef>
          </c:val>
          <c:smooth val="0"/>
        </c:ser>
        <c:marker val="1"/>
        <c:axId val="42107079"/>
        <c:axId val="43419392"/>
      </c:lineChart>
      <c:catAx>
        <c:axId val="48573101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34504726"/>
        <c:crosses val="autoZero"/>
        <c:auto val="1"/>
        <c:lblOffset val="100"/>
        <c:tickLblSkip val="1"/>
        <c:noMultiLvlLbl val="0"/>
      </c:catAx>
      <c:valAx>
        <c:axId val="34504726"/>
        <c:scaling>
          <c:orientation val="minMax"/>
          <c:max val="105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993366"/>
                </a:solidFill>
              </a:defRPr>
            </a:pPr>
          </a:p>
        </c:txPr>
        <c:crossAx val="48573101"/>
        <c:crossesAt val="1"/>
        <c:crossBetween val="between"/>
        <c:dispUnits/>
        <c:majorUnit val="50"/>
        <c:minorUnit val="10"/>
      </c:valAx>
      <c:catAx>
        <c:axId val="42107079"/>
        <c:scaling>
          <c:orientation val="minMax"/>
        </c:scaling>
        <c:axPos val="b"/>
        <c:delete val="1"/>
        <c:majorTickMark val="out"/>
        <c:minorTickMark val="none"/>
        <c:tickLblPos val="nextTo"/>
        <c:crossAx val="43419392"/>
        <c:crosses val="autoZero"/>
        <c:auto val="1"/>
        <c:lblOffset val="100"/>
        <c:tickLblSkip val="1"/>
        <c:noMultiLvlLbl val="0"/>
      </c:catAx>
      <c:valAx>
        <c:axId val="43419392"/>
        <c:scaling>
          <c:orientation val="minMax"/>
          <c:max val="1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993366"/>
                </a:solidFill>
              </a:defRPr>
            </a:pPr>
          </a:p>
        </c:txPr>
        <c:crossAx val="4210707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75"/>
          <c:y val="0.93475"/>
          <c:w val="0.4832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42"/>
          <c:h val="0.938"/>
        </c:manualLayout>
      </c:layout>
      <c:lineChart>
        <c:grouping val="standard"/>
        <c:varyColors val="0"/>
        <c:ser>
          <c:idx val="1"/>
          <c:order val="0"/>
          <c:tx>
            <c:strRef>
              <c:f>'[3]Inflation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'[3]Inflation CPIX -NCPI'!$B$27:$B$39</c:f>
              <c:numCache>
                <c:ptCount val="13"/>
                <c:pt idx="0">
                  <c:v>39051</c:v>
                </c:pt>
                <c:pt idx="1">
                  <c:v>39082</c:v>
                </c:pt>
                <c:pt idx="2">
                  <c:v>39113</c:v>
                </c:pt>
                <c:pt idx="3">
                  <c:v>39141</c:v>
                </c:pt>
                <c:pt idx="4">
                  <c:v>39142</c:v>
                </c:pt>
                <c:pt idx="5">
                  <c:v>39174</c:v>
                </c:pt>
                <c:pt idx="6">
                  <c:v>39205</c:v>
                </c:pt>
                <c:pt idx="7">
                  <c:v>39237</c:v>
                </c:pt>
                <c:pt idx="8">
                  <c:v>39268</c:v>
                </c:pt>
                <c:pt idx="9">
                  <c:v>39300</c:v>
                </c:pt>
                <c:pt idx="10">
                  <c:v>39332</c:v>
                </c:pt>
                <c:pt idx="11">
                  <c:v>39363</c:v>
                </c:pt>
                <c:pt idx="12">
                  <c:v>39395</c:v>
                </c:pt>
              </c:numCache>
            </c:numRef>
          </c:cat>
          <c:val>
            <c:numRef>
              <c:f>'[3]Inflation CPIX -NCPI'!$D$27:$D$39</c:f>
              <c:numCache>
                <c:ptCount val="13"/>
                <c:pt idx="0">
                  <c:v>6.1</c:v>
                </c:pt>
                <c:pt idx="1">
                  <c:v>6.1</c:v>
                </c:pt>
                <c:pt idx="2">
                  <c:v>6</c:v>
                </c:pt>
                <c:pt idx="3">
                  <c:v>6</c:v>
                </c:pt>
                <c:pt idx="4">
                  <c:v>6.3</c:v>
                </c:pt>
                <c:pt idx="5">
                  <c:v>6.9</c:v>
                </c:pt>
                <c:pt idx="6">
                  <c:v>7.1</c:v>
                </c:pt>
                <c:pt idx="7">
                  <c:v>7</c:v>
                </c:pt>
                <c:pt idx="8">
                  <c:v>7.2</c:v>
                </c:pt>
                <c:pt idx="9">
                  <c:v>6.8</c:v>
                </c:pt>
                <c:pt idx="10">
                  <c:v>6.7</c:v>
                </c:pt>
                <c:pt idx="11">
                  <c:v>6.6</c:v>
                </c:pt>
                <c:pt idx="12">
                  <c:v>6.6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'[3]Inflation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'[3]Inflation CPIX -NCPI'!$B$27:$B$39</c:f>
              <c:numCache>
                <c:ptCount val="13"/>
                <c:pt idx="0">
                  <c:v>39051</c:v>
                </c:pt>
                <c:pt idx="1">
                  <c:v>39082</c:v>
                </c:pt>
                <c:pt idx="2">
                  <c:v>39113</c:v>
                </c:pt>
                <c:pt idx="3">
                  <c:v>39141</c:v>
                </c:pt>
                <c:pt idx="4">
                  <c:v>39142</c:v>
                </c:pt>
                <c:pt idx="5">
                  <c:v>39174</c:v>
                </c:pt>
                <c:pt idx="6">
                  <c:v>39205</c:v>
                </c:pt>
                <c:pt idx="7">
                  <c:v>39237</c:v>
                </c:pt>
                <c:pt idx="8">
                  <c:v>39268</c:v>
                </c:pt>
                <c:pt idx="9">
                  <c:v>39300</c:v>
                </c:pt>
                <c:pt idx="10">
                  <c:v>39332</c:v>
                </c:pt>
                <c:pt idx="11">
                  <c:v>39363</c:v>
                </c:pt>
                <c:pt idx="12">
                  <c:v>39395</c:v>
                </c:pt>
              </c:numCache>
            </c:numRef>
          </c:cat>
          <c:val>
            <c:numRef>
              <c:f>'[3]Inflation CPIX -NCPI'!$C$27:$C$39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5.3</c:v>
                </c:pt>
                <c:pt idx="3">
                  <c:v>4.9</c:v>
                </c:pt>
                <c:pt idx="4">
                  <c:v>5.5</c:v>
                </c:pt>
                <c:pt idx="5">
                  <c:v>6.3</c:v>
                </c:pt>
                <c:pt idx="6">
                  <c:v>6.4</c:v>
                </c:pt>
                <c:pt idx="7">
                  <c:v>6.4</c:v>
                </c:pt>
                <c:pt idx="8">
                  <c:v>6.5</c:v>
                </c:pt>
                <c:pt idx="9">
                  <c:v>6.3</c:v>
                </c:pt>
                <c:pt idx="10">
                  <c:v>6.7</c:v>
                </c:pt>
                <c:pt idx="11">
                  <c:v>7.3</c:v>
                </c:pt>
                <c:pt idx="12">
                  <c:v>7.9</c:v>
                </c:pt>
              </c:numCache>
            </c:numRef>
          </c:val>
          <c:smooth val="0"/>
        </c:ser>
        <c:marker val="1"/>
        <c:axId val="55230209"/>
        <c:axId val="27309834"/>
      </c:lineChart>
      <c:catAx>
        <c:axId val="55230209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27309834"/>
        <c:crosses val="autoZero"/>
        <c:auto val="1"/>
        <c:lblOffset val="100"/>
        <c:tickLblSkip val="1"/>
        <c:noMultiLvlLbl val="0"/>
      </c:catAx>
      <c:valAx>
        <c:axId val="27309834"/>
        <c:scaling>
          <c:orientation val="minMax"/>
          <c:max val="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55230209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"/>
          <c:y val="0.9195"/>
          <c:w val="0.535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245"/>
          <c:w val="0.94775"/>
          <c:h val="0.944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'S6'!$AV$4:$BH$4</c:f>
              <c:strCache>
                <c:ptCount val="13"/>
                <c:pt idx="0">
                  <c:v>39051</c:v>
                </c:pt>
                <c:pt idx="1">
                  <c:v>39082</c:v>
                </c:pt>
                <c:pt idx="2">
                  <c:v>39113</c:v>
                </c:pt>
                <c:pt idx="3">
                  <c:v>39141</c:v>
                </c:pt>
                <c:pt idx="4">
                  <c:v>39172</c:v>
                </c:pt>
                <c:pt idx="5">
                  <c:v>39202</c:v>
                </c:pt>
                <c:pt idx="6">
                  <c:v>39233</c:v>
                </c:pt>
                <c:pt idx="7">
                  <c:v>39263</c:v>
                </c:pt>
                <c:pt idx="8">
                  <c:v>39294</c:v>
                </c:pt>
                <c:pt idx="9">
                  <c:v>39325</c:v>
                </c:pt>
                <c:pt idx="10">
                  <c:v>39355</c:v>
                </c:pt>
                <c:pt idx="11">
                  <c:v>39386</c:v>
                </c:pt>
                <c:pt idx="12">
                  <c:v>39416</c:v>
                </c:pt>
              </c:strCache>
            </c:strRef>
          </c:cat>
          <c:val>
            <c:numRef>
              <c:f>'S6'!$AV$13:$BH$13</c:f>
              <c:numCache>
                <c:ptCount val="13"/>
                <c:pt idx="0">
                  <c:v>0.1377676135893974</c:v>
                </c:pt>
                <c:pt idx="1">
                  <c:v>0.14203334943044627</c:v>
                </c:pt>
                <c:pt idx="2">
                  <c:v>0.13920209359948774</c:v>
                </c:pt>
                <c:pt idx="3">
                  <c:v>0.13947390443248067</c:v>
                </c:pt>
                <c:pt idx="4">
                  <c:v>0.13602851157602633</c:v>
                </c:pt>
                <c:pt idx="5">
                  <c:v>0.14041788362165805</c:v>
                </c:pt>
                <c:pt idx="6">
                  <c:v>0.14247652699217803</c:v>
                </c:pt>
                <c:pt idx="7">
                  <c:v>0.13943500934214562</c:v>
                </c:pt>
                <c:pt idx="8">
                  <c:v>0.1434102968593145</c:v>
                </c:pt>
                <c:pt idx="9">
                  <c:v>0.1382475737550806</c:v>
                </c:pt>
                <c:pt idx="10">
                  <c:v>0.14028787071069837</c:v>
                </c:pt>
                <c:pt idx="11">
                  <c:v>0.14764724121129796</c:v>
                </c:pt>
                <c:pt idx="12">
                  <c:v>0.14923145799134457</c:v>
                </c:pt>
              </c:numCache>
            </c:numRef>
          </c:val>
          <c:smooth val="1"/>
        </c:ser>
        <c:marker val="1"/>
        <c:axId val="44461915"/>
        <c:axId val="64612916"/>
      </c:lineChart>
      <c:dateAx>
        <c:axId val="4446191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64612916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612916"/>
        <c:scaling>
          <c:orientation val="minMax"/>
          <c:max val="0.15000000000000002"/>
          <c:min val="0.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44461915"/>
        <c:crossesAt val="1"/>
        <c:crossBetween val="between"/>
        <c:dispUnits/>
        <c:majorUnit val="0.0100000000000000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95"/>
          <c:w val="0.935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chart'!$AW$2:$BI$2</c:f>
              <c:numCache>
                <c:ptCount val="13"/>
                <c:pt idx="0">
                  <c:v>39051</c:v>
                </c:pt>
                <c:pt idx="1">
                  <c:v>39082</c:v>
                </c:pt>
                <c:pt idx="2">
                  <c:v>39113</c:v>
                </c:pt>
                <c:pt idx="3">
                  <c:v>39141</c:v>
                </c:pt>
                <c:pt idx="4">
                  <c:v>39172</c:v>
                </c:pt>
                <c:pt idx="5">
                  <c:v>39202</c:v>
                </c:pt>
                <c:pt idx="6">
                  <c:v>39233</c:v>
                </c:pt>
                <c:pt idx="7">
                  <c:v>39263</c:v>
                </c:pt>
                <c:pt idx="8">
                  <c:v>39294</c:v>
                </c:pt>
                <c:pt idx="9">
                  <c:v>39325</c:v>
                </c:pt>
                <c:pt idx="10">
                  <c:v>39355</c:v>
                </c:pt>
                <c:pt idx="11">
                  <c:v>39386</c:v>
                </c:pt>
                <c:pt idx="12">
                  <c:v>39416</c:v>
                </c:pt>
              </c:numCache>
            </c:numRef>
          </c:cat>
          <c:val>
            <c:numRef>
              <c:f>'[2]Int reser chart'!$AW$3:$BI$3</c:f>
              <c:numCache>
                <c:ptCount val="13"/>
                <c:pt idx="0">
                  <c:v>3495.223781143</c:v>
                </c:pt>
                <c:pt idx="1">
                  <c:v>3164.29667116</c:v>
                </c:pt>
                <c:pt idx="2">
                  <c:v>4865.564786686</c:v>
                </c:pt>
                <c:pt idx="3">
                  <c:v>4466.368215629998</c:v>
                </c:pt>
                <c:pt idx="4">
                  <c:v>5690.014632319999</c:v>
                </c:pt>
                <c:pt idx="5">
                  <c:v>6260.11796704</c:v>
                </c:pt>
                <c:pt idx="6">
                  <c:v>5643.79369454</c:v>
                </c:pt>
                <c:pt idx="7">
                  <c:v>6085.291314379998</c:v>
                </c:pt>
                <c:pt idx="8">
                  <c:v>7455.908350520001</c:v>
                </c:pt>
                <c:pt idx="9">
                  <c:v>6359.042470910001</c:v>
                </c:pt>
                <c:pt idx="10">
                  <c:v>5868.650081049999</c:v>
                </c:pt>
                <c:pt idx="11">
                  <c:v>6499.853570999999</c:v>
                </c:pt>
                <c:pt idx="12">
                  <c:v>6257.02633294</c:v>
                </c:pt>
              </c:numCache>
            </c:numRef>
          </c:val>
        </c:ser>
        <c:axId val="44645333"/>
        <c:axId val="66263678"/>
      </c:barChart>
      <c:catAx>
        <c:axId val="446453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66263678"/>
        <c:crosses val="autoZero"/>
        <c:auto val="1"/>
        <c:lblOffset val="100"/>
        <c:tickLblSkip val="1"/>
        <c:noMultiLvlLbl val="0"/>
      </c:catAx>
      <c:valAx>
        <c:axId val="6626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44645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335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</xdr:row>
      <xdr:rowOff>0</xdr:rowOff>
    </xdr:from>
    <xdr:to>
      <xdr:col>14</xdr:col>
      <xdr:colOff>266700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19125" y="552450"/>
        <a:ext cx="83153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285750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619125" y="5372100"/>
        <a:ext cx="83343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9525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609600" y="466725"/>
        <a:ext cx="6715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609600" y="4438650"/>
        <a:ext cx="6705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4</xdr:row>
      <xdr:rowOff>161925</xdr:rowOff>
    </xdr:from>
    <xdr:to>
      <xdr:col>17</xdr:col>
      <xdr:colOff>428625</xdr:colOff>
      <xdr:row>25</xdr:row>
      <xdr:rowOff>123825</xdr:rowOff>
    </xdr:to>
    <xdr:graphicFrame>
      <xdr:nvGraphicFramePr>
        <xdr:cNvPr id="1" name="Chart 8"/>
        <xdr:cNvGraphicFramePr/>
      </xdr:nvGraphicFramePr>
      <xdr:xfrm>
        <a:off x="514350" y="942975"/>
        <a:ext cx="9667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17</xdr:col>
      <xdr:colOff>390525</xdr:colOff>
      <xdr:row>54</xdr:row>
      <xdr:rowOff>123825</xdr:rowOff>
    </xdr:to>
    <xdr:graphicFrame>
      <xdr:nvGraphicFramePr>
        <xdr:cNvPr id="2" name="Chart 5"/>
        <xdr:cNvGraphicFramePr/>
      </xdr:nvGraphicFramePr>
      <xdr:xfrm>
        <a:off x="609600" y="6267450"/>
        <a:ext cx="953452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17</xdr:col>
      <xdr:colOff>390525</xdr:colOff>
      <xdr:row>81</xdr:row>
      <xdr:rowOff>95250</xdr:rowOff>
    </xdr:to>
    <xdr:graphicFrame>
      <xdr:nvGraphicFramePr>
        <xdr:cNvPr id="3" name="Chart 1"/>
        <xdr:cNvGraphicFramePr/>
      </xdr:nvGraphicFramePr>
      <xdr:xfrm>
        <a:off x="609600" y="11839575"/>
        <a:ext cx="95345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39</xdr:row>
      <xdr:rowOff>85725</xdr:rowOff>
    </xdr:from>
    <xdr:to>
      <xdr:col>17</xdr:col>
      <xdr:colOff>0</xdr:colOff>
      <xdr:row>68</xdr:row>
      <xdr:rowOff>28575</xdr:rowOff>
    </xdr:to>
    <xdr:graphicFrame>
      <xdr:nvGraphicFramePr>
        <xdr:cNvPr id="1" name="Chart 9"/>
        <xdr:cNvGraphicFramePr/>
      </xdr:nvGraphicFramePr>
      <xdr:xfrm>
        <a:off x="657225" y="6534150"/>
        <a:ext cx="96774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32</xdr:row>
      <xdr:rowOff>66675</xdr:rowOff>
    </xdr:to>
    <xdr:graphicFrame>
      <xdr:nvGraphicFramePr>
        <xdr:cNvPr id="2" name="Chart 1"/>
        <xdr:cNvGraphicFramePr/>
      </xdr:nvGraphicFramePr>
      <xdr:xfrm>
        <a:off x="609600" y="876300"/>
        <a:ext cx="97250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Sheet1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O7">
            <v>2003</v>
          </cell>
          <cell r="X7">
            <v>2004</v>
          </cell>
          <cell r="AJ7">
            <v>2005</v>
          </cell>
          <cell r="AV7">
            <v>2006</v>
          </cell>
          <cell r="BH7">
            <v>2007</v>
          </cell>
        </row>
        <row r="8">
          <cell r="BF8">
            <v>39051</v>
          </cell>
          <cell r="BG8">
            <v>39082</v>
          </cell>
          <cell r="BH8">
            <v>39113</v>
          </cell>
          <cell r="BI8">
            <v>39141</v>
          </cell>
          <cell r="BJ8">
            <v>39172</v>
          </cell>
          <cell r="BK8">
            <v>39202</v>
          </cell>
          <cell r="BL8">
            <v>39233</v>
          </cell>
          <cell r="BM8">
            <v>39263</v>
          </cell>
          <cell r="BN8">
            <v>39294</v>
          </cell>
          <cell r="BO8">
            <v>39325</v>
          </cell>
          <cell r="BP8">
            <v>39355</v>
          </cell>
          <cell r="BQ8">
            <v>39386</v>
          </cell>
          <cell r="BR8">
            <v>39416</v>
          </cell>
        </row>
        <row r="9">
          <cell r="BF9">
            <v>1.7061921582027462</v>
          </cell>
          <cell r="BG9">
            <v>-0.34170916060395856</v>
          </cell>
          <cell r="BH9">
            <v>3.1247813249456087</v>
          </cell>
          <cell r="BI9">
            <v>-0.8175012350289527</v>
          </cell>
          <cell r="BJ9">
            <v>-2.0163592435092164</v>
          </cell>
          <cell r="BK9">
            <v>2.124264004786151</v>
          </cell>
          <cell r="BL9">
            <v>1.8639134323938458</v>
          </cell>
          <cell r="BM9">
            <v>-4.265278640754327</v>
          </cell>
          <cell r="BN9">
            <v>10.478186527242048</v>
          </cell>
          <cell r="BO9">
            <v>0.3334290290081349</v>
          </cell>
          <cell r="BP9">
            <v>3.06292270218074</v>
          </cell>
          <cell r="BQ9">
            <v>-2.7589108000328078</v>
          </cell>
          <cell r="BR9">
            <v>4.833871887288493</v>
          </cell>
        </row>
        <row r="10">
          <cell r="BF10">
            <v>-0.570174384078555</v>
          </cell>
          <cell r="BG10">
            <v>-3.8684085489309523</v>
          </cell>
          <cell r="BH10">
            <v>6.0581762262908185</v>
          </cell>
          <cell r="BI10">
            <v>0.8055996711286546</v>
          </cell>
          <cell r="BJ10">
            <v>1.2216558177303205</v>
          </cell>
          <cell r="BK10">
            <v>0.2938067770753827</v>
          </cell>
          <cell r="BL10">
            <v>0.41015757279167386</v>
          </cell>
          <cell r="BM10">
            <v>-10.514576369690575</v>
          </cell>
          <cell r="BN10">
            <v>17.23661372104195</v>
          </cell>
          <cell r="BO10">
            <v>1.5324787126917128</v>
          </cell>
          <cell r="BP10">
            <v>-4.208677112895326</v>
          </cell>
          <cell r="BQ10">
            <v>-1.0470173444796127</v>
          </cell>
          <cell r="BR10">
            <v>6.128929009006668</v>
          </cell>
        </row>
        <row r="11">
          <cell r="A11" t="str">
            <v>M2</v>
          </cell>
          <cell r="O11">
            <v>2.1126208576344614</v>
          </cell>
          <cell r="P11">
            <v>-2.620541246225704</v>
          </cell>
          <cell r="Q11">
            <v>-3.7359655237236264</v>
          </cell>
          <cell r="R11">
            <v>2.4087467164809957</v>
          </cell>
          <cell r="S11">
            <v>1.5633294229420633</v>
          </cell>
          <cell r="T11">
            <v>9.405973739412145</v>
          </cell>
          <cell r="U11">
            <v>-4.021447594341744</v>
          </cell>
          <cell r="V11">
            <v>-3.431972305489767</v>
          </cell>
          <cell r="W11">
            <v>3.3261284618653875</v>
          </cell>
          <cell r="X11">
            <v>6.708472586799004</v>
          </cell>
          <cell r="Y11">
            <v>9.162929365199345</v>
          </cell>
          <cell r="Z11">
            <v>14.103107824172808</v>
          </cell>
          <cell r="AA11">
            <v>10.1157503826273</v>
          </cell>
          <cell r="AB11">
            <v>8.043431517454408</v>
          </cell>
          <cell r="AC11">
            <v>9.029904884573552</v>
          </cell>
          <cell r="AD11">
            <v>7.623626196917267</v>
          </cell>
          <cell r="AE11">
            <v>14.147864601254994</v>
          </cell>
          <cell r="AF11">
            <v>13.399013004805251</v>
          </cell>
          <cell r="AG11">
            <v>26.91471820167706</v>
          </cell>
          <cell r="AH11">
            <v>28.43292705997598</v>
          </cell>
          <cell r="AI11">
            <v>23.082050291463833</v>
          </cell>
          <cell r="AJ11">
            <v>16.538687155325153</v>
          </cell>
          <cell r="AK11">
            <v>15.303727323478943</v>
          </cell>
          <cell r="AL11">
            <v>17.334716730838885</v>
          </cell>
          <cell r="AM11">
            <v>21.901284041668706</v>
          </cell>
          <cell r="AN11">
            <v>20.75920820157945</v>
          </cell>
          <cell r="AO11">
            <v>23.18722087156746</v>
          </cell>
          <cell r="AP11">
            <v>22.591461060481823</v>
          </cell>
          <cell r="AQ11">
            <v>14.30857884274027</v>
          </cell>
          <cell r="AR11">
            <v>8.740192688647696</v>
          </cell>
          <cell r="AS11">
            <v>5.600245642508166</v>
          </cell>
          <cell r="AT11">
            <v>3.486411400545582</v>
          </cell>
          <cell r="AU11">
            <v>6.957496298699314</v>
          </cell>
          <cell r="AV11">
            <v>10.467469385872825</v>
          </cell>
          <cell r="AW11">
            <v>9.32170177349062</v>
          </cell>
          <cell r="AX11">
            <v>13.058876176810239</v>
          </cell>
          <cell r="AY11">
            <v>11.722179750339523</v>
          </cell>
          <cell r="AZ11">
            <v>17.96161978101182</v>
          </cell>
          <cell r="BA11">
            <v>22.341854854594366</v>
          </cell>
          <cell r="BB11">
            <v>21.50861483567151</v>
          </cell>
          <cell r="BC11">
            <v>21.24580440769997</v>
          </cell>
          <cell r="BD11">
            <v>28.11691526946669</v>
          </cell>
          <cell r="BE11">
            <v>30.688964057060687</v>
          </cell>
          <cell r="BF11">
            <v>33.51784933593404</v>
          </cell>
          <cell r="BG11">
            <v>33.27292546248745</v>
          </cell>
          <cell r="BH11">
            <v>36.24588584758198</v>
          </cell>
          <cell r="BI11">
            <v>31.9119765500753</v>
          </cell>
          <cell r="BJ11">
            <v>20.451213792334176</v>
          </cell>
          <cell r="BK11">
            <v>20.57619596874494</v>
          </cell>
          <cell r="BL11">
            <v>19.18412093758493</v>
          </cell>
          <cell r="BM11">
            <v>9.481877583444891</v>
          </cell>
          <cell r="BN11">
            <v>18.507489126733244</v>
          </cell>
          <cell r="BO11">
            <v>20.882745498877515</v>
          </cell>
          <cell r="BP11">
            <v>19.474266018797934</v>
          </cell>
          <cell r="BQ11">
            <v>12.384320244783757</v>
          </cell>
          <cell r="BR11">
            <v>15.840374914001279</v>
          </cell>
        </row>
        <row r="12">
          <cell r="A12" t="str">
            <v>M1</v>
          </cell>
          <cell r="O12">
            <v>0.27115300018753263</v>
          </cell>
          <cell r="P12">
            <v>-2.8293043869405716</v>
          </cell>
          <cell r="Q12">
            <v>-1.7496457021688168</v>
          </cell>
          <cell r="R12">
            <v>6.478572386708736</v>
          </cell>
          <cell r="S12">
            <v>1.1123876549300602</v>
          </cell>
          <cell r="T12">
            <v>11.794539144626107</v>
          </cell>
          <cell r="U12">
            <v>3.6740719431245994</v>
          </cell>
          <cell r="V12">
            <v>8.541876030819182</v>
          </cell>
          <cell r="W12">
            <v>13.803564310522354</v>
          </cell>
          <cell r="X12">
            <v>12.17695923224616</v>
          </cell>
          <cell r="Y12">
            <v>14.809586621437166</v>
          </cell>
          <cell r="Z12">
            <v>24.860442931710324</v>
          </cell>
          <cell r="AA12">
            <v>25.778812990231565</v>
          </cell>
          <cell r="AB12">
            <v>19.045709350453908</v>
          </cell>
          <cell r="AC12">
            <v>16.660896288820425</v>
          </cell>
          <cell r="AD12">
            <v>9.264785123226286</v>
          </cell>
          <cell r="AE12">
            <v>20.591988272940128</v>
          </cell>
          <cell r="AF12">
            <v>15.068787077717605</v>
          </cell>
          <cell r="AG12">
            <v>24.3479266700754</v>
          </cell>
          <cell r="AH12">
            <v>25.80113464150362</v>
          </cell>
          <cell r="AI12">
            <v>21.770389118274764</v>
          </cell>
          <cell r="AJ12">
            <v>12.225875344938842</v>
          </cell>
          <cell r="AK12">
            <v>6.595013046120579</v>
          </cell>
          <cell r="AL12">
            <v>15.886860938538478</v>
          </cell>
          <cell r="AM12">
            <v>9.924449446070735</v>
          </cell>
          <cell r="AN12">
            <v>15.532440700348676</v>
          </cell>
          <cell r="AO12">
            <v>16.637004293188074</v>
          </cell>
          <cell r="AP12">
            <v>22.66878572661799</v>
          </cell>
          <cell r="AQ12">
            <v>11.106527694039181</v>
          </cell>
          <cell r="AR12">
            <v>8.30485210612106</v>
          </cell>
          <cell r="AS12">
            <v>1.7427824178059406</v>
          </cell>
          <cell r="AT12">
            <v>-3.511051013186294</v>
          </cell>
          <cell r="AU12">
            <v>0.9312304565954364</v>
          </cell>
          <cell r="AV12">
            <v>13.166114327041779</v>
          </cell>
          <cell r="AW12">
            <v>16.95502495386894</v>
          </cell>
          <cell r="AX12">
            <v>16.166660434611096</v>
          </cell>
          <cell r="AY12">
            <v>18.93799654870505</v>
          </cell>
          <cell r="AZ12">
            <v>19.876495173907863</v>
          </cell>
          <cell r="BA12">
            <v>24.00802385012584</v>
          </cell>
          <cell r="BB12">
            <v>21.77549276056539</v>
          </cell>
          <cell r="BC12">
            <v>21.806119180287585</v>
          </cell>
          <cell r="BD12">
            <v>30.352043064481972</v>
          </cell>
          <cell r="BE12">
            <v>45.595760275382325</v>
          </cell>
          <cell r="BF12">
            <v>48.84197654846546</v>
          </cell>
          <cell r="BG12">
            <v>42.232112070127755</v>
          </cell>
          <cell r="BH12">
            <v>45.751931333622615</v>
          </cell>
          <cell r="BI12">
            <v>39.9726087567036</v>
          </cell>
          <cell r="BJ12">
            <v>29.676602336435</v>
          </cell>
          <cell r="BK12">
            <v>29.97275095388825</v>
          </cell>
          <cell r="BL12">
            <v>25.39717055363792</v>
          </cell>
          <cell r="BM12">
            <v>10.488377789332132</v>
          </cell>
          <cell r="BN12">
            <v>25.611306640508612</v>
          </cell>
          <cell r="BO12">
            <v>29.187098356069065</v>
          </cell>
          <cell r="BP12">
            <v>18.555388027698847</v>
          </cell>
          <cell r="BQ12">
            <v>5.1749797268932625</v>
          </cell>
          <cell r="BR12">
            <v>12.261163969816021</v>
          </cell>
        </row>
      </sheetData>
      <sheetData sheetId="8">
        <row r="2"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  <cell r="BB2">
            <v>39202</v>
          </cell>
          <cell r="BC2">
            <v>39233</v>
          </cell>
          <cell r="BD2">
            <v>39263</v>
          </cell>
          <cell r="BE2">
            <v>39294</v>
          </cell>
          <cell r="BF2">
            <v>39325</v>
          </cell>
          <cell r="BG2">
            <v>39355</v>
          </cell>
          <cell r="BH2">
            <v>39386</v>
          </cell>
          <cell r="BI2">
            <v>39416</v>
          </cell>
        </row>
        <row r="3"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  <cell r="BB3">
            <v>6260.11796704</v>
          </cell>
          <cell r="BC3">
            <v>5643.79369454</v>
          </cell>
          <cell r="BD3">
            <v>6085.291314379998</v>
          </cell>
          <cell r="BE3">
            <v>7455.908350520001</v>
          </cell>
          <cell r="BF3">
            <v>6359.042470910001</v>
          </cell>
          <cell r="BG3">
            <v>5868.650081049999</v>
          </cell>
          <cell r="BH3">
            <v>6499.853570999999</v>
          </cell>
          <cell r="BI3">
            <v>6257.02633294</v>
          </cell>
        </row>
      </sheetData>
      <sheetData sheetId="9">
        <row r="10">
          <cell r="BE10">
            <v>39051</v>
          </cell>
          <cell r="BF10">
            <v>39082</v>
          </cell>
          <cell r="BG10">
            <v>39113</v>
          </cell>
          <cell r="BH10">
            <v>39141</v>
          </cell>
          <cell r="BI10">
            <v>39172</v>
          </cell>
          <cell r="BJ10">
            <v>39202</v>
          </cell>
          <cell r="BK10">
            <v>39233</v>
          </cell>
          <cell r="BL10">
            <v>39263</v>
          </cell>
          <cell r="BM10">
            <v>39294</v>
          </cell>
          <cell r="BN10">
            <v>39325</v>
          </cell>
          <cell r="BO10">
            <v>39355</v>
          </cell>
          <cell r="BP10">
            <v>39386</v>
          </cell>
          <cell r="BQ10">
            <v>39416</v>
          </cell>
        </row>
        <row r="11">
          <cell r="B11" t="str">
            <v>Domestic claims</v>
          </cell>
          <cell r="BE11">
            <v>2.9984069201778913</v>
          </cell>
          <cell r="BF11">
            <v>0.2131848422549674</v>
          </cell>
          <cell r="BG11">
            <v>-6.01361231956756</v>
          </cell>
          <cell r="BH11">
            <v>3.468989134525586</v>
          </cell>
          <cell r="BI11">
            <v>-1.1060404066356289</v>
          </cell>
          <cell r="BJ11">
            <v>-2.5080256273845984</v>
          </cell>
          <cell r="BK11">
            <v>3.6996475995276263</v>
          </cell>
          <cell r="BL11">
            <v>0.6628882707765882</v>
          </cell>
          <cell r="BM11">
            <v>1.3635344568103014</v>
          </cell>
          <cell r="BN11">
            <v>4.022601386657635</v>
          </cell>
          <cell r="BO11">
            <v>3.3917655819846364</v>
          </cell>
          <cell r="BP11">
            <v>0.5402862829611639</v>
          </cell>
          <cell r="BQ11">
            <v>1.6606216184727136</v>
          </cell>
        </row>
        <row r="12">
          <cell r="B12" t="str">
            <v>Other sectors claims</v>
          </cell>
          <cell r="BE12">
            <v>0.15550027153967988</v>
          </cell>
          <cell r="BF12">
            <v>0.6583832117324644</v>
          </cell>
          <cell r="BG12">
            <v>2.5491633077906704</v>
          </cell>
          <cell r="BH12">
            <v>1.43400578490035</v>
          </cell>
          <cell r="BI12">
            <v>0.775029504938087</v>
          </cell>
          <cell r="BJ12">
            <v>0.4128579839358425</v>
          </cell>
          <cell r="BK12">
            <v>0.13441753430499181</v>
          </cell>
          <cell r="BL12">
            <v>1.6600517682014835</v>
          </cell>
          <cell r="BM12">
            <v>0.4982491808369909</v>
          </cell>
          <cell r="BN12">
            <v>0.6463034678748828</v>
          </cell>
          <cell r="BO12">
            <v>0.7472609684208106</v>
          </cell>
          <cell r="BP12">
            <v>2.2304735975610637</v>
          </cell>
          <cell r="BQ12">
            <v>1.0897149613341732</v>
          </cell>
        </row>
        <row r="14">
          <cell r="P14">
            <v>2003</v>
          </cell>
          <cell r="Y14">
            <v>2004</v>
          </cell>
          <cell r="AK14">
            <v>2005</v>
          </cell>
          <cell r="AW14">
            <v>2006</v>
          </cell>
          <cell r="BI14">
            <v>2007</v>
          </cell>
        </row>
        <row r="16">
          <cell r="B16" t="str">
            <v>Domestic claims</v>
          </cell>
          <cell r="P16">
            <v>21.855711302087634</v>
          </cell>
          <cell r="Q16">
            <v>17.143871797957853</v>
          </cell>
          <cell r="R16">
            <v>18.172902295613756</v>
          </cell>
          <cell r="S16">
            <v>27.563859632820396</v>
          </cell>
          <cell r="T16">
            <v>24.835072451579517</v>
          </cell>
          <cell r="U16">
            <v>21.981468662268867</v>
          </cell>
          <cell r="V16">
            <v>14.722842673863806</v>
          </cell>
          <cell r="W16">
            <v>16.057549846529227</v>
          </cell>
          <cell r="X16">
            <v>19.961269145292107</v>
          </cell>
          <cell r="Y16">
            <v>20.453958221035194</v>
          </cell>
          <cell r="Z16">
            <v>20.014987647067283</v>
          </cell>
          <cell r="AA16">
            <v>18.358405189936235</v>
          </cell>
          <cell r="AB16">
            <v>13.083722256054223</v>
          </cell>
          <cell r="AC16">
            <v>19.109176241175934</v>
          </cell>
          <cell r="AD16">
            <v>18.293631304555543</v>
          </cell>
          <cell r="AE16">
            <v>18.92960243506075</v>
          </cell>
          <cell r="AF16">
            <v>21.59050090268985</v>
          </cell>
          <cell r="AG16">
            <v>22.48206231722378</v>
          </cell>
          <cell r="AH16">
            <v>26.45756592379212</v>
          </cell>
          <cell r="AI16">
            <v>22.78900324586196</v>
          </cell>
          <cell r="AJ16">
            <v>22.469875252343385</v>
          </cell>
          <cell r="AK16">
            <v>21.642055652360025</v>
          </cell>
          <cell r="AL16">
            <v>18.676243470110734</v>
          </cell>
          <cell r="AM16">
            <v>17.541837286935706</v>
          </cell>
          <cell r="AN16">
            <v>22.41024885984043</v>
          </cell>
          <cell r="AO16">
            <v>19.054370209530845</v>
          </cell>
          <cell r="AP16">
            <v>20.84745909882378</v>
          </cell>
          <cell r="AQ16">
            <v>20.44798163161769</v>
          </cell>
          <cell r="AR16">
            <v>20.063741152264868</v>
          </cell>
          <cell r="AS16">
            <v>19.179013225197146</v>
          </cell>
          <cell r="AT16">
            <v>17.271640982355947</v>
          </cell>
          <cell r="AU16">
            <v>17.23534428133733</v>
          </cell>
          <cell r="AV16">
            <v>23.59044224897467</v>
          </cell>
          <cell r="AW16">
            <v>18.716895349796566</v>
          </cell>
          <cell r="AX16">
            <v>19.3695364739865</v>
          </cell>
          <cell r="AY16">
            <v>19.34718521906825</v>
          </cell>
          <cell r="AZ16">
            <v>13.837898231517887</v>
          </cell>
          <cell r="BA16">
            <v>14.78128141706128</v>
          </cell>
          <cell r="BB16">
            <v>15.281463963110983</v>
          </cell>
          <cell r="BC16">
            <v>13.527803529135873</v>
          </cell>
          <cell r="BD16">
            <v>13.800807703584814</v>
          </cell>
          <cell r="BE16">
            <v>11.969343802905993</v>
          </cell>
          <cell r="BF16">
            <v>11.111313543103517</v>
          </cell>
          <cell r="BG16">
            <v>11.50567701955221</v>
          </cell>
          <cell r="BH16">
            <v>4.733928512796796</v>
          </cell>
          <cell r="BI16">
            <v>4.259368067903789</v>
          </cell>
          <cell r="BJ16">
            <v>4.882322530361565</v>
          </cell>
          <cell r="BK16">
            <v>2.8887908490402405</v>
          </cell>
          <cell r="BL16">
            <v>3.1335287428281324</v>
          </cell>
          <cell r="BM16">
            <v>2.466533409315342</v>
          </cell>
          <cell r="BN16">
            <v>0.4752296252192467</v>
          </cell>
          <cell r="BO16">
            <v>3.629437672415049</v>
          </cell>
          <cell r="BP16">
            <v>5.107197784512811</v>
          </cell>
          <cell r="BQ16">
            <v>8.444783546722638</v>
          </cell>
          <cell r="BR16">
            <v>10.726446036993126</v>
          </cell>
          <cell r="BS16">
            <v>9.288285812504043</v>
          </cell>
        </row>
        <row r="17">
          <cell r="B17" t="str">
            <v>Other sectors claims</v>
          </cell>
          <cell r="P17">
            <v>21.0727883181058</v>
          </cell>
          <cell r="Q17">
            <v>18.107767003028794</v>
          </cell>
          <cell r="R17">
            <v>22.665124132512158</v>
          </cell>
          <cell r="S17">
            <v>20.533327441829368</v>
          </cell>
          <cell r="T17">
            <v>20.791014595736616</v>
          </cell>
          <cell r="U17">
            <v>20.09744814308888</v>
          </cell>
          <cell r="V17">
            <v>15.3944804730019</v>
          </cell>
          <cell r="W17">
            <v>17.108406428779745</v>
          </cell>
          <cell r="X17">
            <v>15.40396570229852</v>
          </cell>
          <cell r="Y17">
            <v>17.525095281771076</v>
          </cell>
          <cell r="Z17">
            <v>17.514959321924213</v>
          </cell>
          <cell r="AA17">
            <v>17.533739746734184</v>
          </cell>
          <cell r="AB17">
            <v>17.242341921412706</v>
          </cell>
          <cell r="AC17">
            <v>20.742112326714015</v>
          </cell>
          <cell r="AD17">
            <v>17.163437315082174</v>
          </cell>
          <cell r="AE17">
            <v>19.4446130519431</v>
          </cell>
          <cell r="AF17">
            <v>20.79599151003212</v>
          </cell>
          <cell r="AG17">
            <v>20.450938930910425</v>
          </cell>
          <cell r="AH17">
            <v>21.675133695843478</v>
          </cell>
          <cell r="AI17">
            <v>19.925113195008496</v>
          </cell>
          <cell r="AJ17">
            <v>19.900391907560014</v>
          </cell>
          <cell r="AK17">
            <v>20.124941677147802</v>
          </cell>
          <cell r="AL17">
            <v>18.43953366109137</v>
          </cell>
          <cell r="AM17">
            <v>17.32217877519808</v>
          </cell>
          <cell r="AN17">
            <v>18.255467118152392</v>
          </cell>
          <cell r="AO17">
            <v>16.653269981874743</v>
          </cell>
          <cell r="AP17">
            <v>16.31028713895807</v>
          </cell>
          <cell r="AQ17">
            <v>17.315428056736764</v>
          </cell>
          <cell r="AR17">
            <v>15.999384107757844</v>
          </cell>
          <cell r="AS17">
            <v>16.150117974657395</v>
          </cell>
          <cell r="AT17">
            <v>15.711393084983182</v>
          </cell>
          <cell r="AU17">
            <v>16.05589799242577</v>
          </cell>
          <cell r="AV17">
            <v>21.41816096137786</v>
          </cell>
          <cell r="AW17">
            <v>15.504992800843546</v>
          </cell>
          <cell r="AX17">
            <v>18.55663655485431</v>
          </cell>
          <cell r="AY17">
            <v>18.263674993225184</v>
          </cell>
          <cell r="AZ17">
            <v>17.305102600240936</v>
          </cell>
          <cell r="BA17">
            <v>16.89334773676143</v>
          </cell>
          <cell r="BB17">
            <v>17.892645752916714</v>
          </cell>
          <cell r="BC17">
            <v>18.520542153419395</v>
          </cell>
          <cell r="BD17">
            <v>18.146228563752615</v>
          </cell>
          <cell r="BE17">
            <v>16.373563476355997</v>
          </cell>
          <cell r="BF17">
            <v>16.6952286507554</v>
          </cell>
          <cell r="BG17">
            <v>14.493460988593782</v>
          </cell>
          <cell r="BH17">
            <v>9.154562432737496</v>
          </cell>
          <cell r="BI17">
            <v>15.623271846441222</v>
          </cell>
          <cell r="BJ17">
            <v>13.995557765570563</v>
          </cell>
          <cell r="BK17">
            <v>15.146293916378209</v>
          </cell>
          <cell r="BL17">
            <v>13.423418211811558</v>
          </cell>
          <cell r="BM17">
            <v>11.707013468188627</v>
          </cell>
          <cell r="BN17">
            <v>12.962526151365283</v>
          </cell>
          <cell r="BO17">
            <v>10.515857922774114</v>
          </cell>
          <cell r="BP17">
            <v>10.94617467796916</v>
          </cell>
          <cell r="BQ17">
            <v>11.710975440178258</v>
          </cell>
          <cell r="BR17">
            <v>12.534675482952787</v>
          </cell>
          <cell r="BS17">
            <v>13.584358692186429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39142</v>
          </cell>
          <cell r="C31">
            <v>5.5</v>
          </cell>
          <cell r="D31">
            <v>6.3</v>
          </cell>
        </row>
        <row r="32">
          <cell r="B32">
            <v>39174</v>
          </cell>
          <cell r="C32">
            <v>6.3</v>
          </cell>
          <cell r="D32">
            <v>6.9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  <row r="37">
          <cell r="B37">
            <v>39332</v>
          </cell>
          <cell r="C37">
            <v>6.7</v>
          </cell>
          <cell r="D37">
            <v>6.7</v>
          </cell>
        </row>
        <row r="38">
          <cell r="B38">
            <v>39363</v>
          </cell>
          <cell r="C38">
            <v>7.3</v>
          </cell>
          <cell r="D38">
            <v>6.6</v>
          </cell>
        </row>
        <row r="39">
          <cell r="B39">
            <v>39395</v>
          </cell>
          <cell r="C39">
            <v>7.9</v>
          </cell>
          <cell r="D39">
            <v>6.6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199">
          <cell r="C199">
            <v>39023</v>
          </cell>
          <cell r="E199">
            <v>8.5</v>
          </cell>
          <cell r="J199">
            <v>6.64</v>
          </cell>
          <cell r="K199">
            <v>12.2</v>
          </cell>
        </row>
        <row r="200">
          <cell r="C200">
            <v>39053</v>
          </cell>
          <cell r="E200">
            <v>9</v>
          </cell>
          <cell r="J200">
            <v>6.85</v>
          </cell>
          <cell r="K200">
            <v>12.43</v>
          </cell>
        </row>
        <row r="201">
          <cell r="C201">
            <v>39084</v>
          </cell>
          <cell r="E201">
            <v>9</v>
          </cell>
          <cell r="J201">
            <v>6.98</v>
          </cell>
          <cell r="K201">
            <v>12.63</v>
          </cell>
        </row>
        <row r="202">
          <cell r="C202">
            <v>39115</v>
          </cell>
          <cell r="E202">
            <v>9</v>
          </cell>
          <cell r="J202">
            <v>7.38</v>
          </cell>
          <cell r="K202">
            <v>12.32</v>
          </cell>
        </row>
        <row r="203">
          <cell r="C203">
            <v>39143</v>
          </cell>
          <cell r="E203">
            <v>9</v>
          </cell>
          <cell r="J203">
            <v>7.22</v>
          </cell>
          <cell r="K203">
            <v>11.9</v>
          </cell>
        </row>
        <row r="204">
          <cell r="C204">
            <v>39174</v>
          </cell>
          <cell r="E204">
            <v>9</v>
          </cell>
          <cell r="J204">
            <v>7.18</v>
          </cell>
          <cell r="K204">
            <v>12.44</v>
          </cell>
        </row>
        <row r="205">
          <cell r="C205">
            <v>39204</v>
          </cell>
          <cell r="E205">
            <v>9</v>
          </cell>
          <cell r="J205">
            <v>7.34</v>
          </cell>
          <cell r="K205">
            <v>12.65</v>
          </cell>
        </row>
        <row r="206">
          <cell r="C206">
            <v>39235</v>
          </cell>
          <cell r="E206">
            <v>9.5</v>
          </cell>
          <cell r="J206">
            <v>7.24</v>
          </cell>
          <cell r="K206">
            <v>12.22</v>
          </cell>
        </row>
        <row r="207">
          <cell r="C207">
            <v>39265</v>
          </cell>
          <cell r="E207">
            <v>9.5</v>
          </cell>
          <cell r="J207">
            <v>7.49</v>
          </cell>
          <cell r="K207">
            <v>13.03</v>
          </cell>
        </row>
        <row r="208">
          <cell r="C208">
            <v>39296</v>
          </cell>
          <cell r="E208">
            <v>10</v>
          </cell>
          <cell r="J208">
            <v>7.68</v>
          </cell>
          <cell r="K208">
            <v>12.85</v>
          </cell>
        </row>
        <row r="209">
          <cell r="C209">
            <v>39327</v>
          </cell>
          <cell r="E209">
            <v>10</v>
          </cell>
          <cell r="J209">
            <v>7.74</v>
          </cell>
          <cell r="K209">
            <v>12.89</v>
          </cell>
        </row>
        <row r="210">
          <cell r="C210">
            <v>39357</v>
          </cell>
          <cell r="E210">
            <v>10.5</v>
          </cell>
          <cell r="J210">
            <v>7.95</v>
          </cell>
          <cell r="K210">
            <v>13.56</v>
          </cell>
        </row>
        <row r="211">
          <cell r="C211">
            <v>39388</v>
          </cell>
          <cell r="E211">
            <v>10.5</v>
          </cell>
          <cell r="J211">
            <v>8.08</v>
          </cell>
          <cell r="K211">
            <v>14.53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33">
          <cell r="B133">
            <v>39051</v>
          </cell>
          <cell r="C133">
            <v>792.6</v>
          </cell>
          <cell r="D133">
            <v>88.1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</v>
          </cell>
          <cell r="D138">
            <v>101.61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  <row r="143">
          <cell r="B143">
            <v>39355</v>
          </cell>
          <cell r="C143">
            <v>972</v>
          </cell>
          <cell r="D143">
            <v>116</v>
          </cell>
        </row>
        <row r="144">
          <cell r="B144">
            <v>39386</v>
          </cell>
          <cell r="C144">
            <v>1016</v>
          </cell>
          <cell r="D144">
            <v>129</v>
          </cell>
        </row>
        <row r="145">
          <cell r="B145">
            <v>39416</v>
          </cell>
          <cell r="C145">
            <v>996</v>
          </cell>
          <cell r="D145">
            <v>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6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129</v>
      </c>
    </row>
    <row r="2" ht="37.5">
      <c r="A2" s="27"/>
    </row>
    <row r="3" ht="37.5">
      <c r="A3" s="27"/>
    </row>
    <row r="4" ht="33">
      <c r="A4" s="28"/>
    </row>
    <row r="5" ht="37.5">
      <c r="A5" s="27"/>
    </row>
    <row r="6" ht="33">
      <c r="A6" s="28"/>
    </row>
    <row r="7" ht="37.5">
      <c r="A7" s="29"/>
    </row>
    <row r="8" ht="37.5">
      <c r="A8" s="29"/>
    </row>
    <row r="9" ht="33">
      <c r="A9" s="111"/>
    </row>
    <row r="11" ht="40.5">
      <c r="A11" s="30"/>
    </row>
    <row r="12" ht="40.5">
      <c r="A12" s="30"/>
    </row>
    <row r="13" ht="40.5">
      <c r="A13" s="30" t="s">
        <v>47</v>
      </c>
    </row>
    <row r="14" ht="40.5">
      <c r="A14" s="30"/>
    </row>
    <row r="15" ht="40.5">
      <c r="A15" s="30" t="s">
        <v>48</v>
      </c>
    </row>
    <row r="16" ht="40.5">
      <c r="A16" s="30"/>
    </row>
    <row r="17" ht="40.5">
      <c r="A17" s="30" t="s">
        <v>49</v>
      </c>
    </row>
    <row r="18" ht="40.5">
      <c r="A18" s="30"/>
    </row>
    <row r="19" ht="40.5">
      <c r="A19" s="32">
        <v>39416</v>
      </c>
    </row>
    <row r="20" ht="40.5">
      <c r="A20" s="31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56"/>
  <sheetViews>
    <sheetView zoomScalePageLayoutView="0" workbookViewId="0" topLeftCell="A47">
      <selection activeCell="B2" sqref="B2:I56"/>
    </sheetView>
  </sheetViews>
  <sheetFormatPr defaultColWidth="9.140625" defaultRowHeight="12"/>
  <cols>
    <col min="2" max="2" width="48.00390625" style="0" customWidth="1"/>
    <col min="3" max="4" width="9.7109375" style="0" customWidth="1"/>
    <col min="5" max="5" width="11.140625" style="0" customWidth="1"/>
    <col min="6" max="6" width="9.421875" style="0" customWidth="1"/>
    <col min="7" max="7" width="8.421875" style="0" customWidth="1"/>
    <col min="8" max="8" width="9.28125" style="0" customWidth="1"/>
    <col min="9" max="9" width="9.140625" style="0" customWidth="1"/>
  </cols>
  <sheetData>
    <row r="1" ht="12" thickBot="1"/>
    <row r="2" spans="2:9" ht="11.25">
      <c r="B2" s="226" t="s">
        <v>86</v>
      </c>
      <c r="C2" s="227"/>
      <c r="D2" s="227"/>
      <c r="E2" s="227"/>
      <c r="F2" s="227"/>
      <c r="G2" s="227"/>
      <c r="H2" s="227"/>
      <c r="I2" s="228"/>
    </row>
    <row r="3" spans="2:9" ht="11.25">
      <c r="B3" s="229" t="s">
        <v>159</v>
      </c>
      <c r="C3" s="230"/>
      <c r="D3" s="230"/>
      <c r="E3" s="230"/>
      <c r="F3" s="230"/>
      <c r="G3" s="230"/>
      <c r="H3" s="230"/>
      <c r="I3" s="231"/>
    </row>
    <row r="4" spans="2:9" ht="11.25">
      <c r="B4" s="131"/>
      <c r="C4" s="24"/>
      <c r="D4" s="24"/>
      <c r="E4" s="24"/>
      <c r="F4" s="223" t="s">
        <v>145</v>
      </c>
      <c r="G4" s="224"/>
      <c r="H4" s="223" t="s">
        <v>147</v>
      </c>
      <c r="I4" s="225"/>
    </row>
    <row r="5" spans="2:9" ht="11.25">
      <c r="B5" s="132"/>
      <c r="C5" s="12">
        <v>39049</v>
      </c>
      <c r="D5" s="12">
        <v>39385</v>
      </c>
      <c r="E5" s="12">
        <v>39416</v>
      </c>
      <c r="F5" s="12" t="s">
        <v>150</v>
      </c>
      <c r="G5" s="109" t="s">
        <v>148</v>
      </c>
      <c r="H5" s="109" t="s">
        <v>150</v>
      </c>
      <c r="I5" s="133" t="s">
        <v>148</v>
      </c>
    </row>
    <row r="6" spans="2:9" ht="11.25">
      <c r="B6" s="134"/>
      <c r="C6" s="37"/>
      <c r="D6" s="37"/>
      <c r="E6" s="37"/>
      <c r="F6" s="37"/>
      <c r="G6" s="38"/>
      <c r="H6" s="38"/>
      <c r="I6" s="135"/>
    </row>
    <row r="7" spans="2:12" ht="11.25">
      <c r="B7" s="136" t="s">
        <v>1</v>
      </c>
      <c r="C7" s="43">
        <v>4625.762157463</v>
      </c>
      <c r="D7" s="43">
        <v>7265.073806675529</v>
      </c>
      <c r="E7" s="43">
        <v>7689.430556146988</v>
      </c>
      <c r="F7" s="43">
        <v>424.3567494714589</v>
      </c>
      <c r="G7" s="43">
        <v>3063.668398683988</v>
      </c>
      <c r="H7" s="43">
        <v>5.841052145699301</v>
      </c>
      <c r="I7" s="137">
        <v>66.23056470253665</v>
      </c>
      <c r="L7" s="60"/>
    </row>
    <row r="8" spans="2:9" ht="11.25">
      <c r="B8" s="136" t="s">
        <v>79</v>
      </c>
      <c r="C8" s="43">
        <v>28337.112335159996</v>
      </c>
      <c r="D8" s="43">
        <v>30463.264759569996</v>
      </c>
      <c r="E8" s="43">
        <v>30969.144319859995</v>
      </c>
      <c r="F8" s="43">
        <v>505.87956028999906</v>
      </c>
      <c r="G8" s="115">
        <v>2632.031984699999</v>
      </c>
      <c r="H8" s="115">
        <v>1.6606216184727136</v>
      </c>
      <c r="I8" s="137">
        <v>9.288285812504043</v>
      </c>
    </row>
    <row r="9" spans="2:9" ht="11.25">
      <c r="B9" s="138" t="s">
        <v>92</v>
      </c>
      <c r="C9" s="13">
        <v>8.38229315999979</v>
      </c>
      <c r="D9" s="13">
        <v>-2065.56189383</v>
      </c>
      <c r="E9" s="13">
        <v>-1767.527167570001</v>
      </c>
      <c r="F9" s="13">
        <v>298.03472625999893</v>
      </c>
      <c r="G9" s="116">
        <v>-1775.9094607300008</v>
      </c>
      <c r="H9" s="116">
        <v>-14.428748281533114</v>
      </c>
      <c r="I9" s="139">
        <v>-21186.439400671657</v>
      </c>
    </row>
    <row r="10" spans="2:9" ht="11.25">
      <c r="B10" s="138" t="s">
        <v>50</v>
      </c>
      <c r="C10" s="13">
        <v>28328.730041999996</v>
      </c>
      <c r="D10" s="13">
        <v>32528.826653399996</v>
      </c>
      <c r="E10" s="13">
        <v>32736.671487429998</v>
      </c>
      <c r="F10" s="13">
        <v>207.84483403000195</v>
      </c>
      <c r="G10" s="116">
        <v>4407.941445430002</v>
      </c>
      <c r="H10" s="116">
        <v>0.6389558290700826</v>
      </c>
      <c r="I10" s="139">
        <v>15.5599684097904</v>
      </c>
    </row>
    <row r="11" spans="2:9" ht="11.25">
      <c r="B11" s="140" t="s">
        <v>93</v>
      </c>
      <c r="C11" s="13">
        <v>852.78</v>
      </c>
      <c r="D11" s="13">
        <v>1680.12790411</v>
      </c>
      <c r="E11" s="13">
        <v>1544.92812449</v>
      </c>
      <c r="F11" s="13">
        <v>-135.19977961999984</v>
      </c>
      <c r="G11" s="116">
        <v>692.1481244900001</v>
      </c>
      <c r="H11" s="116">
        <v>-8.046993284812926</v>
      </c>
      <c r="I11" s="139">
        <v>81.16373794999883</v>
      </c>
    </row>
    <row r="12" spans="2:9" ht="11.25">
      <c r="B12" s="140" t="s">
        <v>94</v>
      </c>
      <c r="C12" s="13">
        <v>40.004</v>
      </c>
      <c r="D12" s="13">
        <v>21.682</v>
      </c>
      <c r="E12" s="13">
        <v>28.8</v>
      </c>
      <c r="F12" s="13">
        <v>7.118000000000002</v>
      </c>
      <c r="G12" s="116">
        <v>-11.203999999999997</v>
      </c>
      <c r="H12" s="116">
        <v>32.829074808597</v>
      </c>
      <c r="I12" s="139">
        <v>-28.007199280071987</v>
      </c>
    </row>
    <row r="13" spans="2:9" ht="11.25">
      <c r="B13" s="140" t="s">
        <v>95</v>
      </c>
      <c r="C13" s="13">
        <v>168.061</v>
      </c>
      <c r="D13" s="13">
        <v>205.031</v>
      </c>
      <c r="E13" s="13">
        <v>230.609</v>
      </c>
      <c r="F13" s="13">
        <v>25.578000000000003</v>
      </c>
      <c r="G13" s="116">
        <v>62.548</v>
      </c>
      <c r="H13" s="116">
        <v>12.475186679087553</v>
      </c>
      <c r="I13" s="139">
        <v>37.217438906111475</v>
      </c>
    </row>
    <row r="14" spans="2:9" ht="11.25">
      <c r="B14" s="140" t="s">
        <v>96</v>
      </c>
      <c r="C14" s="13">
        <v>9340.2233660526</v>
      </c>
      <c r="D14" s="13">
        <v>10598.242025059999</v>
      </c>
      <c r="E14" s="13">
        <v>10698.010263279999</v>
      </c>
      <c r="F14" s="13">
        <v>99.76823822000006</v>
      </c>
      <c r="G14" s="116">
        <v>1357.786897227399</v>
      </c>
      <c r="H14" s="116">
        <v>0.9413659169520169</v>
      </c>
      <c r="I14" s="139">
        <v>14.53698529483061</v>
      </c>
    </row>
    <row r="15" spans="2:12" ht="11.25">
      <c r="B15" s="140" t="s">
        <v>97</v>
      </c>
      <c r="C15" s="13">
        <v>17927.661675947395</v>
      </c>
      <c r="D15" s="13">
        <v>20023.743724229997</v>
      </c>
      <c r="E15" s="13">
        <v>20234.32409966</v>
      </c>
      <c r="F15" s="13">
        <v>210.5803754300032</v>
      </c>
      <c r="G15" s="116">
        <v>2306.6624237126052</v>
      </c>
      <c r="H15" s="116">
        <v>1.0516533687713332</v>
      </c>
      <c r="I15" s="139">
        <v>12.866499075042972</v>
      </c>
      <c r="J15" s="57"/>
      <c r="K15" s="57"/>
      <c r="L15" s="60"/>
    </row>
    <row r="16" spans="2:9" ht="11.25">
      <c r="B16" s="136" t="s">
        <v>45</v>
      </c>
      <c r="C16" s="13">
        <v>-10345.389293719998</v>
      </c>
      <c r="D16" s="13">
        <v>-12736.248822620191</v>
      </c>
      <c r="E16" s="13">
        <v>-12458.381376256986</v>
      </c>
      <c r="F16" s="13">
        <v>277.8674463632051</v>
      </c>
      <c r="G16" s="116">
        <v>-2112.992082536988</v>
      </c>
      <c r="H16" s="116">
        <v>-2.1817055416638778</v>
      </c>
      <c r="I16" s="139">
        <v>20.424481114689865</v>
      </c>
    </row>
    <row r="17" spans="2:9" ht="12" thickBot="1">
      <c r="B17" s="141" t="s">
        <v>53</v>
      </c>
      <c r="C17" s="45">
        <v>22617.485198903</v>
      </c>
      <c r="D17" s="45">
        <v>24992.089743625336</v>
      </c>
      <c r="E17" s="45">
        <v>26200.19349975</v>
      </c>
      <c r="F17" s="45">
        <v>1208.103756124663</v>
      </c>
      <c r="G17" s="117">
        <v>3582.708300847</v>
      </c>
      <c r="H17" s="117">
        <v>4.833944534121285</v>
      </c>
      <c r="I17" s="142">
        <v>15.840436146370374</v>
      </c>
    </row>
    <row r="18" spans="2:11" ht="12" thickBot="1">
      <c r="B18" s="217"/>
      <c r="C18" s="39"/>
      <c r="D18" s="39"/>
      <c r="E18" s="39"/>
      <c r="F18" s="39"/>
      <c r="G18" s="39"/>
      <c r="H18" s="39"/>
      <c r="I18" s="39"/>
      <c r="K18" s="57"/>
    </row>
    <row r="19" spans="2:9" ht="11.25">
      <c r="B19" s="226" t="s">
        <v>86</v>
      </c>
      <c r="C19" s="227"/>
      <c r="D19" s="227"/>
      <c r="E19" s="227"/>
      <c r="F19" s="227"/>
      <c r="G19" s="227"/>
      <c r="H19" s="227"/>
      <c r="I19" s="228"/>
    </row>
    <row r="20" spans="2:9" ht="11.25">
      <c r="B20" s="220" t="s">
        <v>158</v>
      </c>
      <c r="C20" s="221"/>
      <c r="D20" s="221"/>
      <c r="E20" s="221"/>
      <c r="F20" s="221"/>
      <c r="G20" s="221"/>
      <c r="H20" s="221"/>
      <c r="I20" s="222"/>
    </row>
    <row r="21" spans="2:9" ht="11.25">
      <c r="B21" s="131"/>
      <c r="C21" s="24"/>
      <c r="D21" s="24"/>
      <c r="E21" s="24"/>
      <c r="F21" s="223" t="s">
        <v>145</v>
      </c>
      <c r="G21" s="224"/>
      <c r="H21" s="223" t="s">
        <v>149</v>
      </c>
      <c r="I21" s="225"/>
    </row>
    <row r="22" spans="2:9" ht="11.25">
      <c r="B22" s="132"/>
      <c r="C22" s="12">
        <v>39049</v>
      </c>
      <c r="D22" s="12">
        <v>39385</v>
      </c>
      <c r="E22" s="12">
        <v>39416</v>
      </c>
      <c r="F22" s="12" t="s">
        <v>150</v>
      </c>
      <c r="G22" s="109" t="s">
        <v>148</v>
      </c>
      <c r="H22" s="109" t="s">
        <v>150</v>
      </c>
      <c r="I22" s="133" t="s">
        <v>148</v>
      </c>
    </row>
    <row r="23" spans="2:9" ht="11.25">
      <c r="B23" s="143"/>
      <c r="C23" s="40"/>
      <c r="D23" s="40"/>
      <c r="E23" s="40"/>
      <c r="F23" s="40"/>
      <c r="G23" s="40"/>
      <c r="H23" s="40"/>
      <c r="I23" s="144"/>
    </row>
    <row r="24" spans="2:9" ht="11.25">
      <c r="B24" s="136" t="s">
        <v>53</v>
      </c>
      <c r="C24" s="43">
        <v>22617.52391519</v>
      </c>
      <c r="D24" s="43">
        <v>24992.136632889997</v>
      </c>
      <c r="E24" s="43">
        <v>26200.224499619995</v>
      </c>
      <c r="F24" s="43">
        <v>1208.0878667299985</v>
      </c>
      <c r="G24" s="43">
        <v>3582.7005844299965</v>
      </c>
      <c r="H24" s="43">
        <v>4.833871887288493</v>
      </c>
      <c r="I24" s="137">
        <v>15.840374914001279</v>
      </c>
    </row>
    <row r="25" spans="2:10" ht="11.25">
      <c r="B25" s="138" t="s">
        <v>54</v>
      </c>
      <c r="C25" s="13">
        <v>839.6568748299999</v>
      </c>
      <c r="D25" s="13">
        <v>806.54482616</v>
      </c>
      <c r="E25" s="13">
        <v>806.0181482599999</v>
      </c>
      <c r="F25" s="13">
        <v>-0.5266779000000952</v>
      </c>
      <c r="G25" s="13">
        <v>-33.63872657000002</v>
      </c>
      <c r="H25" s="13">
        <v>-0.06530051187701927</v>
      </c>
      <c r="I25" s="139">
        <v>-4.006246787035554</v>
      </c>
      <c r="J25" s="57"/>
    </row>
    <row r="26" spans="2:9" ht="11.25">
      <c r="B26" s="138" t="s">
        <v>55</v>
      </c>
      <c r="C26" s="13">
        <v>13412.712501779999</v>
      </c>
      <c r="D26" s="13">
        <v>14269.340613239998</v>
      </c>
      <c r="E26" s="13">
        <v>15193.857607199996</v>
      </c>
      <c r="F26" s="13">
        <v>924.5169939599982</v>
      </c>
      <c r="G26" s="13">
        <v>1781.145105419997</v>
      </c>
      <c r="H26" s="13">
        <v>6.4790449609295395</v>
      </c>
      <c r="I26" s="139">
        <v>13.279529440324778</v>
      </c>
    </row>
    <row r="27" spans="2:9" ht="11.25">
      <c r="B27" s="138" t="s">
        <v>56</v>
      </c>
      <c r="C27" s="13">
        <v>8359.29324741</v>
      </c>
      <c r="D27" s="13">
        <v>9910.26060888</v>
      </c>
      <c r="E27" s="13">
        <v>10194.35815955</v>
      </c>
      <c r="F27" s="13">
        <v>284.0975506699997</v>
      </c>
      <c r="G27" s="13">
        <v>1835.0649121400002</v>
      </c>
      <c r="H27" s="13">
        <v>2.8667011078945452</v>
      </c>
      <c r="I27" s="139">
        <v>21.952393077112912</v>
      </c>
    </row>
    <row r="28" spans="2:9" ht="12" thickBot="1">
      <c r="B28" s="145" t="s">
        <v>135</v>
      </c>
      <c r="C28" s="146">
        <v>5.861291169999999</v>
      </c>
      <c r="D28" s="146">
        <v>5.99058461</v>
      </c>
      <c r="E28" s="146">
        <v>5.99058461</v>
      </c>
      <c r="F28" s="146">
        <v>0</v>
      </c>
      <c r="G28" s="146">
        <v>0.12929344000000054</v>
      </c>
      <c r="H28" s="146">
        <v>0</v>
      </c>
      <c r="I28" s="147">
        <v>2.2058866596112225</v>
      </c>
    </row>
    <row r="29" spans="2:9" ht="11.25">
      <c r="B29" s="47"/>
      <c r="C29" s="110"/>
      <c r="D29" s="110"/>
      <c r="E29" s="110"/>
      <c r="F29" s="110"/>
      <c r="G29" s="110"/>
      <c r="H29" s="110"/>
      <c r="I29" s="110"/>
    </row>
    <row r="30" spans="2:9" ht="11.25">
      <c r="B30" s="47"/>
      <c r="C30" s="26"/>
      <c r="D30" s="26"/>
      <c r="E30" s="26"/>
      <c r="F30" s="26"/>
      <c r="G30" s="26"/>
      <c r="H30" s="26"/>
      <c r="I30" s="26"/>
    </row>
    <row r="31" spans="2:9" ht="12" thickBot="1">
      <c r="B31" s="183"/>
      <c r="C31" s="39"/>
      <c r="D31" s="39"/>
      <c r="E31" s="39"/>
      <c r="F31" s="39"/>
      <c r="G31" s="39"/>
      <c r="H31" s="39"/>
      <c r="I31" s="39"/>
    </row>
    <row r="32" spans="2:9" ht="11.25">
      <c r="B32" s="226" t="s">
        <v>86</v>
      </c>
      <c r="C32" s="227"/>
      <c r="D32" s="227"/>
      <c r="E32" s="227"/>
      <c r="F32" s="227"/>
      <c r="G32" s="227"/>
      <c r="H32" s="227"/>
      <c r="I32" s="228"/>
    </row>
    <row r="33" spans="2:9" ht="11.25">
      <c r="B33" s="220" t="s">
        <v>157</v>
      </c>
      <c r="C33" s="221"/>
      <c r="D33" s="221"/>
      <c r="E33" s="221"/>
      <c r="F33" s="221"/>
      <c r="G33" s="221"/>
      <c r="H33" s="221"/>
      <c r="I33" s="222"/>
    </row>
    <row r="34" spans="2:9" ht="11.25">
      <c r="B34" s="131"/>
      <c r="C34" s="24"/>
      <c r="D34" s="24"/>
      <c r="E34" s="24"/>
      <c r="F34" s="223" t="s">
        <v>145</v>
      </c>
      <c r="G34" s="224"/>
      <c r="H34" s="223" t="s">
        <v>147</v>
      </c>
      <c r="I34" s="225"/>
    </row>
    <row r="35" spans="2:9" ht="11.25">
      <c r="B35" s="132"/>
      <c r="C35" s="12">
        <v>39049</v>
      </c>
      <c r="D35" s="12">
        <v>39385</v>
      </c>
      <c r="E35" s="12">
        <v>39416</v>
      </c>
      <c r="F35" s="12" t="s">
        <v>150</v>
      </c>
      <c r="G35" s="109" t="s">
        <v>148</v>
      </c>
      <c r="H35" s="109" t="s">
        <v>150</v>
      </c>
      <c r="I35" s="133" t="s">
        <v>148</v>
      </c>
    </row>
    <row r="36" spans="2:9" ht="11.25">
      <c r="B36" s="148"/>
      <c r="C36" s="41"/>
      <c r="D36" s="158"/>
      <c r="E36" s="158"/>
      <c r="F36" s="41"/>
      <c r="G36" s="42"/>
      <c r="H36" s="42"/>
      <c r="I36" s="149"/>
    </row>
    <row r="37" spans="2:9" ht="11.25">
      <c r="B37" s="150" t="s">
        <v>103</v>
      </c>
      <c r="C37" s="118">
        <v>27278.18159013</v>
      </c>
      <c r="D37" s="159">
        <v>30643.676045139997</v>
      </c>
      <c r="E37" s="174">
        <v>30956.221229879997</v>
      </c>
      <c r="F37" s="118">
        <v>312.5451847399998</v>
      </c>
      <c r="G37" s="118">
        <v>3678.039639749997</v>
      </c>
      <c r="H37" s="118">
        <v>1.0199337190472901</v>
      </c>
      <c r="I37" s="151">
        <v>13.483448768743491</v>
      </c>
    </row>
    <row r="38" spans="2:9" ht="11.25">
      <c r="B38" s="152" t="s">
        <v>51</v>
      </c>
      <c r="C38" s="119">
        <v>0</v>
      </c>
      <c r="D38" s="120">
        <v>0</v>
      </c>
      <c r="E38" s="175">
        <v>0</v>
      </c>
      <c r="F38" s="119">
        <v>0</v>
      </c>
      <c r="G38" s="119">
        <v>0</v>
      </c>
      <c r="H38" s="119">
        <v>0</v>
      </c>
      <c r="I38" s="153">
        <v>0</v>
      </c>
    </row>
    <row r="39" spans="2:9" ht="11.25">
      <c r="B39" s="152" t="s">
        <v>57</v>
      </c>
      <c r="C39" s="119">
        <v>9326.8933660526</v>
      </c>
      <c r="D39" s="120">
        <v>10588.981025059999</v>
      </c>
      <c r="E39" s="175">
        <v>10688.633263279999</v>
      </c>
      <c r="F39" s="119">
        <v>99.65223822000007</v>
      </c>
      <c r="G39" s="119">
        <v>1361.7398972273986</v>
      </c>
      <c r="H39" s="119">
        <v>0.9410937462647444</v>
      </c>
      <c r="I39" s="153">
        <v>14.600144375872977</v>
      </c>
    </row>
    <row r="40" spans="2:9" ht="11.25">
      <c r="B40" s="154" t="s">
        <v>104</v>
      </c>
      <c r="C40" s="120">
        <v>7231.49378091</v>
      </c>
      <c r="D40" s="120">
        <v>8523.28347286</v>
      </c>
      <c r="E40" s="175">
        <v>8534.69576985</v>
      </c>
      <c r="F40" s="120">
        <v>11.412296989999959</v>
      </c>
      <c r="G40" s="119">
        <v>1303.201988939999</v>
      </c>
      <c r="H40" s="119">
        <v>0.1338955465500967</v>
      </c>
      <c r="I40" s="153">
        <v>18.021200438286293</v>
      </c>
    </row>
    <row r="41" spans="2:9" ht="11.25">
      <c r="B41" s="155" t="s">
        <v>105</v>
      </c>
      <c r="C41" s="105">
        <v>1650.493</v>
      </c>
      <c r="D41" s="105">
        <v>1589.882</v>
      </c>
      <c r="E41" s="176">
        <v>1629.844</v>
      </c>
      <c r="F41" s="166">
        <v>39.96199999999999</v>
      </c>
      <c r="G41" s="119">
        <v>-20.648999999999887</v>
      </c>
      <c r="H41" s="119">
        <v>2.5135198712860443</v>
      </c>
      <c r="I41" s="153">
        <v>-1.2510807376947306</v>
      </c>
    </row>
    <row r="42" spans="2:9" ht="11.25">
      <c r="B42" s="155" t="s">
        <v>106</v>
      </c>
      <c r="C42" s="105">
        <v>2131.7091020300004</v>
      </c>
      <c r="D42" s="105">
        <v>2808.1296455700003</v>
      </c>
      <c r="E42" s="176">
        <v>2849.66351486</v>
      </c>
      <c r="F42" s="166">
        <v>41.53386928999953</v>
      </c>
      <c r="G42" s="119">
        <v>717.9544128299995</v>
      </c>
      <c r="H42" s="119">
        <v>1.4790581109929095</v>
      </c>
      <c r="I42" s="153">
        <v>33.67975546693028</v>
      </c>
    </row>
    <row r="43" spans="2:9" ht="11.25">
      <c r="B43" s="155" t="s">
        <v>107</v>
      </c>
      <c r="C43" s="105">
        <v>3449.29167888</v>
      </c>
      <c r="D43" s="105">
        <v>4125.27182729</v>
      </c>
      <c r="E43" s="176">
        <v>4055.1882549899997</v>
      </c>
      <c r="F43" s="105">
        <v>-70.08357230000047</v>
      </c>
      <c r="G43" s="119">
        <v>605.8965761099998</v>
      </c>
      <c r="H43" s="119">
        <v>-1.6988837398877594</v>
      </c>
      <c r="I43" s="153">
        <v>17.56582604538498</v>
      </c>
    </row>
    <row r="44" spans="2:9" ht="11.25">
      <c r="B44" s="154" t="s">
        <v>108</v>
      </c>
      <c r="C44" s="105">
        <v>1331.6281273985999</v>
      </c>
      <c r="D44" s="105">
        <v>1278.8546867199998</v>
      </c>
      <c r="E44" s="176">
        <v>1295.6126279500002</v>
      </c>
      <c r="F44" s="216">
        <v>16.75794123000037</v>
      </c>
      <c r="G44" s="119">
        <v>-36.01549944859971</v>
      </c>
      <c r="H44" s="119">
        <v>1.3103866611288773</v>
      </c>
      <c r="I44" s="153">
        <v>-2.7046214110059195</v>
      </c>
    </row>
    <row r="45" spans="2:9" ht="11.25">
      <c r="B45" s="154" t="s">
        <v>109</v>
      </c>
      <c r="C45" s="105">
        <v>39.730457744</v>
      </c>
      <c r="D45" s="105">
        <v>46.05086548</v>
      </c>
      <c r="E45" s="176">
        <v>47.32886548</v>
      </c>
      <c r="F45" s="216">
        <v>1.2779999999999987</v>
      </c>
      <c r="G45" s="119">
        <v>7.598407735999999</v>
      </c>
      <c r="H45" s="119">
        <v>2.775192141730837</v>
      </c>
      <c r="I45" s="153">
        <v>19.124893513585288</v>
      </c>
    </row>
    <row r="46" spans="2:10" ht="11.25">
      <c r="B46" s="154" t="s">
        <v>110</v>
      </c>
      <c r="C46" s="105">
        <v>724.041</v>
      </c>
      <c r="D46" s="105">
        <v>740.792</v>
      </c>
      <c r="E46" s="176">
        <v>810.996</v>
      </c>
      <c r="F46" s="105">
        <v>70.20399999999995</v>
      </c>
      <c r="G46" s="119">
        <v>86.95499999999993</v>
      </c>
      <c r="H46" s="119">
        <v>9.47688419961338</v>
      </c>
      <c r="I46" s="153">
        <v>12.009679009890313</v>
      </c>
      <c r="J46" s="55"/>
    </row>
    <row r="47" spans="2:11" ht="11.25">
      <c r="B47" s="152" t="s">
        <v>85</v>
      </c>
      <c r="C47" s="106">
        <v>17910.106224077397</v>
      </c>
      <c r="D47" s="106">
        <v>20005.82802008</v>
      </c>
      <c r="E47" s="177">
        <v>20215.8539666</v>
      </c>
      <c r="F47" s="106">
        <v>210.0259465199997</v>
      </c>
      <c r="G47" s="119">
        <v>2305.7477425226025</v>
      </c>
      <c r="H47" s="119">
        <v>1.0498238128869002</v>
      </c>
      <c r="I47" s="153">
        <v>12.87400372546578</v>
      </c>
      <c r="J47" s="55"/>
      <c r="K47" s="55"/>
    </row>
    <row r="48" spans="2:9" ht="11.25">
      <c r="B48" s="154" t="s">
        <v>111</v>
      </c>
      <c r="C48" s="106">
        <v>14353.107691129999</v>
      </c>
      <c r="D48" s="106">
        <v>16202.001294239999</v>
      </c>
      <c r="E48" s="177">
        <v>16314.01524076</v>
      </c>
      <c r="F48" s="106">
        <v>112.0139465200009</v>
      </c>
      <c r="G48" s="119">
        <v>1960.907549630001</v>
      </c>
      <c r="H48" s="119">
        <v>0.6913587061607208</v>
      </c>
      <c r="I48" s="153">
        <v>13.661902298983042</v>
      </c>
    </row>
    <row r="49" spans="2:9" ht="11.25">
      <c r="B49" s="155" t="s">
        <v>105</v>
      </c>
      <c r="C49" s="105">
        <v>11512.959743009998</v>
      </c>
      <c r="D49" s="105">
        <v>13241.544370069998</v>
      </c>
      <c r="E49" s="176">
        <v>13417.332730189999</v>
      </c>
      <c r="F49" s="105">
        <v>175.78836012000102</v>
      </c>
      <c r="G49" s="119">
        <v>1904.3729871800006</v>
      </c>
      <c r="H49" s="119">
        <v>1.327551796128383</v>
      </c>
      <c r="I49" s="153">
        <v>16.541124347596416</v>
      </c>
    </row>
    <row r="50" spans="2:9" ht="11.25">
      <c r="B50" s="155" t="s">
        <v>112</v>
      </c>
      <c r="C50" s="105">
        <v>1782.4970727</v>
      </c>
      <c r="D50" s="105">
        <v>1825.3734573600004</v>
      </c>
      <c r="E50" s="176">
        <v>1840.8993502900005</v>
      </c>
      <c r="F50" s="166">
        <v>15.525892930000055</v>
      </c>
      <c r="G50" s="119">
        <v>58.402277590000494</v>
      </c>
      <c r="H50" s="119">
        <v>0.8505598055783516</v>
      </c>
      <c r="I50" s="153">
        <v>3.2764304909369004</v>
      </c>
    </row>
    <row r="51" spans="2:10" ht="11.25">
      <c r="B51" s="155" t="s">
        <v>107</v>
      </c>
      <c r="C51" s="105">
        <v>1057.65087542</v>
      </c>
      <c r="D51" s="105">
        <v>1135.08346681</v>
      </c>
      <c r="E51" s="176">
        <v>1055.78316028</v>
      </c>
      <c r="F51" s="216">
        <v>-79.30030652999994</v>
      </c>
      <c r="G51" s="119">
        <v>-1.867715139999973</v>
      </c>
      <c r="H51" s="119">
        <v>-6.986297382417421</v>
      </c>
      <c r="I51" s="153">
        <v>-0.17659089434954528</v>
      </c>
      <c r="J51" s="55"/>
    </row>
    <row r="52" spans="2:9" ht="11.25">
      <c r="B52" s="154" t="s">
        <v>108</v>
      </c>
      <c r="C52" s="105">
        <v>3147.2236732914002</v>
      </c>
      <c r="D52" s="105">
        <v>3362.49997851</v>
      </c>
      <c r="E52" s="176">
        <v>3343.5459785099997</v>
      </c>
      <c r="F52" s="105">
        <v>-18.95400000000018</v>
      </c>
      <c r="G52" s="119">
        <v>196.32230521859947</v>
      </c>
      <c r="H52" s="119">
        <v>-0.5636877359445851</v>
      </c>
      <c r="I52" s="153">
        <v>6.237952099962552</v>
      </c>
    </row>
    <row r="53" spans="2:9" ht="11.25">
      <c r="B53" s="154" t="s">
        <v>109</v>
      </c>
      <c r="C53" s="105">
        <v>73.295859656</v>
      </c>
      <c r="D53" s="105">
        <v>80.26274733</v>
      </c>
      <c r="E53" s="176">
        <v>84.59074733</v>
      </c>
      <c r="F53" s="105">
        <v>4.328000000000003</v>
      </c>
      <c r="G53" s="119">
        <v>11.294887673999995</v>
      </c>
      <c r="H53" s="119">
        <v>5.392289877899951</v>
      </c>
      <c r="I53" s="153">
        <v>15.409994134744274</v>
      </c>
    </row>
    <row r="54" spans="2:9" ht="11.25">
      <c r="B54" s="154" t="s">
        <v>110</v>
      </c>
      <c r="C54" s="105">
        <v>336.479</v>
      </c>
      <c r="D54" s="105">
        <v>361.064</v>
      </c>
      <c r="E54" s="176">
        <v>473.702</v>
      </c>
      <c r="F54" s="105">
        <v>112.63799999999998</v>
      </c>
      <c r="G54" s="119">
        <v>137.223</v>
      </c>
      <c r="H54" s="119">
        <v>31.196131433762424</v>
      </c>
      <c r="I54" s="153">
        <v>40.782039889562206</v>
      </c>
    </row>
    <row r="55" spans="2:9" ht="12" thickBot="1">
      <c r="B55" s="156" t="s">
        <v>113</v>
      </c>
      <c r="C55" s="121">
        <v>41.181999999999995</v>
      </c>
      <c r="D55" s="160">
        <v>48.867</v>
      </c>
      <c r="E55" s="178">
        <v>51.734</v>
      </c>
      <c r="F55" s="121">
        <v>2.8670000000000044</v>
      </c>
      <c r="G55" s="122">
        <v>10.552000000000007</v>
      </c>
      <c r="H55" s="122">
        <v>5.866944973090233</v>
      </c>
      <c r="I55" s="157">
        <v>25.622844932251976</v>
      </c>
    </row>
    <row r="56" ht="11.25">
      <c r="B56" s="63" t="s">
        <v>127</v>
      </c>
    </row>
  </sheetData>
  <sheetProtection/>
  <mergeCells count="12">
    <mergeCell ref="B3:I3"/>
    <mergeCell ref="B20:I20"/>
    <mergeCell ref="B33:I33"/>
    <mergeCell ref="F34:G34"/>
    <mergeCell ref="H34:I34"/>
    <mergeCell ref="B32:I32"/>
    <mergeCell ref="B2:I2"/>
    <mergeCell ref="B19:I19"/>
    <mergeCell ref="F4:G4"/>
    <mergeCell ref="H4:I4"/>
    <mergeCell ref="F21:G21"/>
    <mergeCell ref="H21:I21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9"/>
  <sheetViews>
    <sheetView showGridLines="0" zoomScale="80" zoomScaleNormal="80" zoomScalePageLayoutView="0" workbookViewId="0" topLeftCell="A32">
      <selection activeCell="B2" sqref="A2:O48"/>
    </sheetView>
  </sheetViews>
  <sheetFormatPr defaultColWidth="9.140625" defaultRowHeight="12"/>
  <cols>
    <col min="1" max="16384" width="9.28125" style="1" customWidth="1"/>
  </cols>
  <sheetData>
    <row r="2" spans="2:13" ht="15.75">
      <c r="B2" s="232" t="s">
        <v>144</v>
      </c>
      <c r="C2" s="233"/>
      <c r="D2" s="233"/>
      <c r="E2" s="233"/>
      <c r="F2" s="233"/>
      <c r="G2" s="233"/>
      <c r="H2" s="233"/>
      <c r="I2" s="233"/>
      <c r="J2" s="233"/>
      <c r="K2" s="233"/>
      <c r="L2" s="234"/>
      <c r="M2" s="234"/>
    </row>
    <row r="3" spans="2:13" ht="15.75"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2"/>
      <c r="M3" s="182"/>
    </row>
    <row r="4" spans="1:14" ht="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1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ht="1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1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1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ht="1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1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1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1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14" ht="1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1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ht="15">
      <c r="D22" s="124"/>
    </row>
    <row r="26" spans="1:12" ht="15.75">
      <c r="A26" s="232"/>
      <c r="B26" s="233"/>
      <c r="C26" s="233"/>
      <c r="D26" s="233"/>
      <c r="E26" s="233"/>
      <c r="F26" s="233"/>
      <c r="G26" s="233"/>
      <c r="H26" s="233"/>
      <c r="I26" s="233"/>
      <c r="J26" s="233"/>
      <c r="K26" s="234"/>
      <c r="L26" s="234"/>
    </row>
    <row r="28" spans="2:13" ht="15.75">
      <c r="B28" s="232" t="s">
        <v>169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4"/>
      <c r="M28" s="234"/>
    </row>
    <row r="29" spans="2:12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7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Q30" s="15"/>
    </row>
    <row r="31" spans="2:12" ht="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2:12" ht="15">
      <c r="B47" s="112" t="s">
        <v>98</v>
      </c>
      <c r="C47" s="112"/>
      <c r="D47" s="112"/>
      <c r="E47" s="112"/>
      <c r="F47" s="25"/>
      <c r="G47" s="25"/>
      <c r="H47" s="25"/>
      <c r="I47" s="25"/>
      <c r="J47" s="25"/>
      <c r="K47" s="25"/>
      <c r="L47" s="25"/>
    </row>
    <row r="48" spans="2:5" ht="15">
      <c r="B48" s="112" t="s">
        <v>152</v>
      </c>
      <c r="C48" s="112"/>
      <c r="D48" s="112"/>
      <c r="E48" s="112"/>
    </row>
    <row r="49" spans="2:5" ht="15">
      <c r="B49" s="25"/>
      <c r="C49" s="25"/>
      <c r="D49" s="25"/>
      <c r="E49" s="25"/>
    </row>
  </sheetData>
  <sheetProtection/>
  <mergeCells count="3">
    <mergeCell ref="B2:M2"/>
    <mergeCell ref="A26:L26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showGridLines="0" zoomScalePageLayoutView="0" workbookViewId="0" topLeftCell="A45">
      <selection activeCell="A2" sqref="A2:M52"/>
    </sheetView>
  </sheetViews>
  <sheetFormatPr defaultColWidth="9.140625" defaultRowHeight="12"/>
  <sheetData>
    <row r="2" spans="2:13" ht="12.75">
      <c r="B2" s="235" t="s">
        <v>168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28" spans="2:13" ht="12.75">
      <c r="B28" s="235" t="s">
        <v>170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</row>
  </sheetData>
  <sheetProtection/>
  <mergeCells count="2">
    <mergeCell ref="B2:M2"/>
    <mergeCell ref="B28:M28"/>
  </mergeCells>
  <printOptions/>
  <pageMargins left="0.7" right="0.7" top="0.75" bottom="0.75" header="0.3" footer="0.3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5"/>
  <sheetViews>
    <sheetView showGridLines="0" tabSelected="1" zoomScale="75" zoomScaleNormal="75" zoomScaleSheetLayoutView="75" zoomScalePageLayoutView="0" workbookViewId="0" topLeftCell="A1">
      <selection activeCell="D18" sqref="D18"/>
    </sheetView>
  </sheetViews>
  <sheetFormatPr defaultColWidth="9.1406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3" t="s">
        <v>46</v>
      </c>
    </row>
    <row r="2" spans="1:4" ht="12.75" thickBot="1">
      <c r="A2" s="3" t="s">
        <v>2</v>
      </c>
      <c r="B2" s="52">
        <v>39385</v>
      </c>
      <c r="C2" s="52">
        <v>39387</v>
      </c>
      <c r="D2" s="4"/>
    </row>
    <row r="3" spans="1:4" ht="12">
      <c r="A3" s="5"/>
      <c r="B3" s="35"/>
      <c r="C3" s="35"/>
      <c r="D3" s="4"/>
    </row>
    <row r="4" spans="1:4" ht="12">
      <c r="A4" s="5" t="s">
        <v>3</v>
      </c>
      <c r="B4" s="36">
        <v>10.5</v>
      </c>
      <c r="C4" s="36">
        <v>10.5</v>
      </c>
      <c r="D4" s="4"/>
    </row>
    <row r="5" spans="1:4" ht="12">
      <c r="A5" s="5"/>
      <c r="B5" s="36"/>
      <c r="C5" s="36"/>
      <c r="D5" s="4"/>
    </row>
    <row r="6" spans="1:4" ht="12">
      <c r="A6" s="5" t="s">
        <v>41</v>
      </c>
      <c r="B6" s="36">
        <v>15.25</v>
      </c>
      <c r="C6" s="36">
        <v>15.25</v>
      </c>
      <c r="D6" s="4"/>
    </row>
    <row r="7" spans="1:4" ht="12">
      <c r="A7" s="5"/>
      <c r="B7" s="36"/>
      <c r="C7" s="36"/>
      <c r="D7" s="4"/>
    </row>
    <row r="8" spans="1:4" ht="12">
      <c r="A8" s="5" t="s">
        <v>4</v>
      </c>
      <c r="B8" s="36">
        <v>15.25</v>
      </c>
      <c r="C8" s="36">
        <v>15.25</v>
      </c>
      <c r="D8" s="4"/>
    </row>
    <row r="9" spans="1:4" ht="12">
      <c r="A9" s="5"/>
      <c r="B9" s="36"/>
      <c r="C9" s="36"/>
      <c r="D9" s="4"/>
    </row>
    <row r="10" spans="1:4" ht="12">
      <c r="A10" s="5" t="s">
        <v>130</v>
      </c>
      <c r="B10" s="56">
        <v>13.56</v>
      </c>
      <c r="C10" s="56">
        <v>14.53</v>
      </c>
      <c r="D10" s="4"/>
    </row>
    <row r="11" spans="1:4" ht="12">
      <c r="A11" s="5"/>
      <c r="B11" s="36"/>
      <c r="C11" s="36"/>
      <c r="D11" s="4"/>
    </row>
    <row r="12" spans="1:4" ht="12">
      <c r="A12" s="5" t="s">
        <v>5</v>
      </c>
      <c r="B12" s="56">
        <v>7.95</v>
      </c>
      <c r="C12" s="56">
        <v>8.08</v>
      </c>
      <c r="D12" s="4"/>
    </row>
    <row r="13" spans="1:4" ht="12">
      <c r="A13" s="5"/>
      <c r="B13" s="36"/>
      <c r="C13" s="36"/>
      <c r="D13" s="4"/>
    </row>
    <row r="14" spans="1:4" ht="12">
      <c r="A14" s="6" t="s">
        <v>6</v>
      </c>
      <c r="B14" s="36"/>
      <c r="C14" s="36"/>
      <c r="D14" s="4"/>
    </row>
    <row r="15" spans="1:3" ht="12">
      <c r="A15" s="5"/>
      <c r="B15" s="36"/>
      <c r="C15" s="36"/>
    </row>
    <row r="16" spans="1:3" ht="12">
      <c r="A16" s="5" t="s">
        <v>7</v>
      </c>
      <c r="B16" s="56">
        <v>9.16</v>
      </c>
      <c r="C16" s="56">
        <v>9.19</v>
      </c>
    </row>
    <row r="17" spans="1:3" ht="12">
      <c r="A17" s="5" t="s">
        <v>40</v>
      </c>
      <c r="B17" s="56">
        <v>9.71</v>
      </c>
      <c r="C17" s="56">
        <v>9.74</v>
      </c>
    </row>
    <row r="18" spans="1:3" ht="12">
      <c r="A18" s="5" t="s">
        <v>8</v>
      </c>
      <c r="B18" s="56">
        <v>50</v>
      </c>
      <c r="C18" s="56">
        <v>100</v>
      </c>
    </row>
    <row r="19" spans="1:3" ht="12">
      <c r="A19" s="5" t="s">
        <v>9</v>
      </c>
      <c r="B19" s="56">
        <v>50</v>
      </c>
      <c r="C19" s="56">
        <v>100</v>
      </c>
    </row>
    <row r="20" spans="1:3" ht="12">
      <c r="A20" s="5"/>
      <c r="B20" s="36"/>
      <c r="C20" s="36"/>
    </row>
    <row r="21" spans="1:3" ht="12">
      <c r="A21" s="6" t="s">
        <v>10</v>
      </c>
      <c r="B21" s="36"/>
      <c r="C21" s="36"/>
    </row>
    <row r="22" spans="1:3" ht="12">
      <c r="A22" s="5"/>
      <c r="B22" s="36"/>
      <c r="C22" s="36"/>
    </row>
    <row r="23" spans="1:3" ht="12">
      <c r="A23" s="5" t="s">
        <v>7</v>
      </c>
      <c r="B23" s="56" t="s">
        <v>165</v>
      </c>
      <c r="C23" s="56">
        <v>9.32</v>
      </c>
    </row>
    <row r="24" spans="1:3" ht="12">
      <c r="A24" s="5" t="s">
        <v>39</v>
      </c>
      <c r="B24" s="56" t="s">
        <v>165</v>
      </c>
      <c r="C24" s="56">
        <v>10.02</v>
      </c>
    </row>
    <row r="25" spans="1:3" ht="12">
      <c r="A25" s="5" t="s">
        <v>8</v>
      </c>
      <c r="B25" s="56" t="s">
        <v>165</v>
      </c>
      <c r="C25" s="56">
        <v>150</v>
      </c>
    </row>
    <row r="26" spans="1:3" ht="12">
      <c r="A26" s="5" t="s">
        <v>9</v>
      </c>
      <c r="B26" s="56" t="s">
        <v>165</v>
      </c>
      <c r="C26" s="56">
        <v>149.99</v>
      </c>
    </row>
    <row r="27" spans="1:3" ht="12">
      <c r="A27" s="5"/>
      <c r="B27" s="36"/>
      <c r="C27" s="36"/>
    </row>
    <row r="28" spans="1:3" ht="12">
      <c r="A28" s="6" t="s">
        <v>42</v>
      </c>
      <c r="B28" s="36"/>
      <c r="C28" s="36"/>
    </row>
    <row r="29" spans="1:3" ht="12">
      <c r="A29" s="5"/>
      <c r="B29" s="54"/>
      <c r="C29" s="54"/>
    </row>
    <row r="30" spans="1:3" ht="12">
      <c r="A30" s="5" t="s">
        <v>7</v>
      </c>
      <c r="B30" s="56">
        <v>9.16</v>
      </c>
      <c r="C30" s="56">
        <v>9.23</v>
      </c>
    </row>
    <row r="31" spans="1:3" ht="12">
      <c r="A31" s="5" t="s">
        <v>39</v>
      </c>
      <c r="B31" s="56">
        <v>10.09</v>
      </c>
      <c r="C31" s="56">
        <v>10.17</v>
      </c>
    </row>
    <row r="32" spans="1:3" ht="12">
      <c r="A32" s="5" t="s">
        <v>8</v>
      </c>
      <c r="B32" s="56">
        <v>50</v>
      </c>
      <c r="C32" s="56">
        <v>250</v>
      </c>
    </row>
    <row r="33" spans="1:3" ht="12">
      <c r="A33" s="5" t="s">
        <v>9</v>
      </c>
      <c r="B33" s="56">
        <v>50</v>
      </c>
      <c r="C33" s="56">
        <v>300</v>
      </c>
    </row>
    <row r="34" spans="1:3" ht="12">
      <c r="A34" s="5"/>
      <c r="B34" s="36"/>
      <c r="C34" s="36"/>
    </row>
    <row r="35" spans="1:3" ht="12">
      <c r="A35" s="5"/>
      <c r="B35" s="36"/>
      <c r="C35" s="36"/>
    </row>
    <row r="36" spans="1:3" ht="12">
      <c r="A36" s="5"/>
      <c r="B36" s="36"/>
      <c r="C36" s="36"/>
    </row>
    <row r="37" spans="1:3" ht="12">
      <c r="A37" s="6" t="s">
        <v>43</v>
      </c>
      <c r="B37" s="219">
        <v>3249.99</v>
      </c>
      <c r="C37" s="219">
        <v>3100</v>
      </c>
    </row>
    <row r="38" spans="1:3" ht="12">
      <c r="A38" s="5"/>
      <c r="B38" s="36"/>
      <c r="C38" s="36"/>
    </row>
    <row r="39" spans="1:3" ht="12">
      <c r="A39" s="5"/>
      <c r="B39" s="33"/>
      <c r="C39" s="33"/>
    </row>
    <row r="40" spans="1:3" ht="12.75" thickBot="1">
      <c r="A40" s="5"/>
      <c r="B40" s="126"/>
      <c r="C40" s="126"/>
    </row>
    <row r="41" spans="1:3" ht="12.75" thickBot="1">
      <c r="A41" s="3" t="s">
        <v>11</v>
      </c>
      <c r="B41" s="52">
        <v>39385</v>
      </c>
      <c r="C41" s="52">
        <v>39416</v>
      </c>
    </row>
    <row r="42" spans="1:3" ht="12">
      <c r="A42" s="5"/>
      <c r="B42" s="127"/>
      <c r="C42" s="127"/>
    </row>
    <row r="43" spans="1:3" ht="12">
      <c r="A43" s="6" t="s">
        <v>12</v>
      </c>
      <c r="B43" s="33"/>
      <c r="C43" s="33"/>
    </row>
    <row r="44" spans="1:3" ht="12">
      <c r="A44" s="7" t="s">
        <v>101</v>
      </c>
      <c r="B44" s="33"/>
      <c r="C44" s="33"/>
    </row>
    <row r="45" spans="1:3" ht="12">
      <c r="A45" s="5" t="s">
        <v>13</v>
      </c>
      <c r="B45" s="53">
        <v>8.82</v>
      </c>
      <c r="C45" s="53">
        <v>8.82</v>
      </c>
    </row>
    <row r="46" spans="1:3" ht="12">
      <c r="A46" s="5" t="s">
        <v>8</v>
      </c>
      <c r="B46" s="53">
        <v>8</v>
      </c>
      <c r="C46" s="53">
        <v>8</v>
      </c>
    </row>
    <row r="47" spans="1:3" ht="12">
      <c r="A47" s="5" t="s">
        <v>9</v>
      </c>
      <c r="B47" s="53">
        <v>0</v>
      </c>
      <c r="C47" s="53">
        <v>0</v>
      </c>
    </row>
    <row r="48" spans="1:3" ht="12">
      <c r="A48" s="5"/>
      <c r="B48" s="36"/>
      <c r="C48" s="36"/>
    </row>
    <row r="49" spans="1:3" ht="12">
      <c r="A49" s="5" t="s">
        <v>14</v>
      </c>
      <c r="B49" s="219">
        <v>5781.99</v>
      </c>
      <c r="C49" s="219">
        <v>5781.99</v>
      </c>
    </row>
    <row r="50" spans="1:3" ht="12.75" thickBot="1">
      <c r="A50" s="5"/>
      <c r="B50" s="126"/>
      <c r="C50" s="126"/>
    </row>
    <row r="51" spans="1:3" ht="12.75" thickBot="1">
      <c r="A51" s="3" t="s">
        <v>15</v>
      </c>
      <c r="B51" s="52">
        <v>39385</v>
      </c>
      <c r="C51" s="52">
        <v>39416</v>
      </c>
    </row>
    <row r="52" spans="1:3" ht="12">
      <c r="A52" s="5"/>
      <c r="B52" s="127"/>
      <c r="C52" s="127"/>
    </row>
    <row r="53" spans="1:3" ht="12">
      <c r="A53" s="6" t="s">
        <v>16</v>
      </c>
      <c r="B53" s="33"/>
      <c r="C53" s="33"/>
    </row>
    <row r="54" spans="1:3" ht="12">
      <c r="A54" s="5"/>
      <c r="B54" s="33"/>
      <c r="C54" s="33"/>
    </row>
    <row r="55" spans="1:4" ht="12">
      <c r="A55" s="5" t="s">
        <v>17</v>
      </c>
      <c r="B55" s="219">
        <v>19.44</v>
      </c>
      <c r="C55" s="219">
        <v>8.47</v>
      </c>
      <c r="D55" s="8"/>
    </row>
    <row r="56" spans="1:9" ht="12">
      <c r="A56" s="5" t="s">
        <v>18</v>
      </c>
      <c r="B56" s="218">
        <v>646.76</v>
      </c>
      <c r="C56" s="218">
        <v>481.3</v>
      </c>
      <c r="D56" s="8"/>
      <c r="G56" s="9"/>
      <c r="I56" s="9"/>
    </row>
    <row r="57" spans="1:4" ht="12">
      <c r="A57" s="5" t="s">
        <v>19</v>
      </c>
      <c r="B57" s="218">
        <v>1016.22</v>
      </c>
      <c r="C57" s="218">
        <v>995.72</v>
      </c>
      <c r="D57" s="10"/>
    </row>
    <row r="58" spans="1:4" ht="12">
      <c r="A58" s="5" t="s">
        <v>20</v>
      </c>
      <c r="B58" s="218">
        <v>1312.02</v>
      </c>
      <c r="C58" s="218">
        <v>1274.97</v>
      </c>
      <c r="D58" s="10"/>
    </row>
    <row r="59" spans="1:4" ht="12">
      <c r="A59" s="5" t="s">
        <v>21</v>
      </c>
      <c r="B59" s="218">
        <v>616.26</v>
      </c>
      <c r="C59" s="218">
        <v>627.65</v>
      </c>
      <c r="D59" s="10"/>
    </row>
    <row r="60" spans="1:9" ht="12">
      <c r="A60" s="5" t="s">
        <v>22</v>
      </c>
      <c r="B60" s="218">
        <v>618.73</v>
      </c>
      <c r="C60" s="218">
        <v>574.88</v>
      </c>
      <c r="D60" s="10"/>
      <c r="G60" s="9"/>
      <c r="I60" s="9"/>
    </row>
    <row r="61" spans="1:9" ht="12">
      <c r="A61" s="5" t="s">
        <v>23</v>
      </c>
      <c r="B61" s="218">
        <v>26.56</v>
      </c>
      <c r="C61" s="218">
        <v>24.42</v>
      </c>
      <c r="D61" s="10"/>
      <c r="G61" s="9"/>
      <c r="I61" s="9"/>
    </row>
    <row r="62" spans="1:3" ht="12">
      <c r="A62" s="5" t="s">
        <v>24</v>
      </c>
      <c r="B62" s="218">
        <v>47.53</v>
      </c>
      <c r="C62" s="218">
        <v>45.25</v>
      </c>
    </row>
    <row r="63" spans="1:3" ht="12">
      <c r="A63" s="5" t="s">
        <v>25</v>
      </c>
      <c r="B63" s="218">
        <v>2.93</v>
      </c>
      <c r="C63" s="218">
        <v>2.77</v>
      </c>
    </row>
    <row r="64" spans="1:3" ht="12">
      <c r="A64" s="5"/>
      <c r="B64" s="218"/>
      <c r="C64" s="218"/>
    </row>
    <row r="65" spans="1:3" ht="12">
      <c r="A65" s="6" t="s">
        <v>26</v>
      </c>
      <c r="B65" s="218"/>
      <c r="C65" s="218"/>
    </row>
    <row r="66" spans="1:4" ht="12">
      <c r="A66" s="5"/>
      <c r="B66" s="218"/>
      <c r="C66" s="218"/>
      <c r="D66" s="8"/>
    </row>
    <row r="67" spans="1:4" ht="12">
      <c r="A67" s="5" t="s">
        <v>17</v>
      </c>
      <c r="B67" s="218">
        <v>7431.25</v>
      </c>
      <c r="C67" s="218">
        <v>185.7</v>
      </c>
      <c r="D67" s="8"/>
    </row>
    <row r="68" spans="1:4" ht="12">
      <c r="A68" s="5" t="s">
        <v>18</v>
      </c>
      <c r="B68" s="218">
        <v>63.9</v>
      </c>
      <c r="C68" s="218">
        <v>1.09</v>
      </c>
      <c r="D68" s="9"/>
    </row>
    <row r="69" spans="1:4" ht="12">
      <c r="A69" s="5" t="s">
        <v>19</v>
      </c>
      <c r="B69" s="218">
        <v>129.33</v>
      </c>
      <c r="C69" s="218">
        <v>131.76</v>
      </c>
      <c r="D69" s="9"/>
    </row>
    <row r="70" spans="1:4" ht="12">
      <c r="A70" s="5" t="s">
        <v>20</v>
      </c>
      <c r="B70" s="56">
        <v>4.59</v>
      </c>
      <c r="C70" s="56">
        <v>4.73</v>
      </c>
      <c r="D70" s="9"/>
    </row>
    <row r="71" spans="1:4" ht="12">
      <c r="A71" s="5" t="s">
        <v>21</v>
      </c>
      <c r="B71" s="36">
        <v>0</v>
      </c>
      <c r="C71" s="36">
        <v>0</v>
      </c>
      <c r="D71" s="9"/>
    </row>
    <row r="72" spans="1:4" ht="12">
      <c r="A72" s="5" t="s">
        <v>22</v>
      </c>
      <c r="B72" s="36">
        <v>3.68</v>
      </c>
      <c r="C72" s="36">
        <v>3.75</v>
      </c>
      <c r="D72" s="9"/>
    </row>
    <row r="73" spans="1:3" ht="12">
      <c r="A73" s="5" t="s">
        <v>23</v>
      </c>
      <c r="B73" s="36">
        <v>0.88</v>
      </c>
      <c r="C73" s="36">
        <v>0.93</v>
      </c>
    </row>
    <row r="74" spans="1:3" ht="12">
      <c r="A74" s="5" t="s">
        <v>24</v>
      </c>
      <c r="B74" s="36">
        <v>0.03</v>
      </c>
      <c r="C74" s="36">
        <v>0.43</v>
      </c>
    </row>
    <row r="75" spans="1:3" ht="12">
      <c r="A75" s="5" t="s">
        <v>25</v>
      </c>
      <c r="B75" s="36">
        <v>0</v>
      </c>
      <c r="C75" s="36">
        <v>0</v>
      </c>
    </row>
    <row r="76" spans="1:3" ht="12.75" thickBot="1">
      <c r="A76" s="5"/>
      <c r="B76" s="128"/>
      <c r="C76" s="128" t="s">
        <v>164</v>
      </c>
    </row>
    <row r="77" spans="1:3" ht="12.75" thickBot="1">
      <c r="A77" s="3" t="s">
        <v>100</v>
      </c>
      <c r="B77" s="52">
        <v>39385</v>
      </c>
      <c r="C77" s="52">
        <v>39387</v>
      </c>
    </row>
    <row r="78" spans="1:3" ht="12">
      <c r="A78" s="5"/>
      <c r="B78" s="127"/>
      <c r="C78" s="127"/>
    </row>
    <row r="79" spans="1:3" ht="12">
      <c r="A79" s="5"/>
      <c r="B79" s="33"/>
      <c r="C79" s="33"/>
    </row>
    <row r="80" spans="1:3" ht="12">
      <c r="A80" s="5" t="s">
        <v>27</v>
      </c>
      <c r="B80" s="125">
        <v>6.6</v>
      </c>
      <c r="C80" s="125" t="s">
        <v>165</v>
      </c>
    </row>
    <row r="81" spans="1:3" ht="12">
      <c r="A81" s="5" t="s">
        <v>28</v>
      </c>
      <c r="B81" s="125">
        <v>6</v>
      </c>
      <c r="C81" s="125" t="s">
        <v>165</v>
      </c>
    </row>
    <row r="82" spans="1:3" ht="12.75" thickBot="1">
      <c r="A82" s="11" t="s">
        <v>29</v>
      </c>
      <c r="B82" s="58">
        <v>0.5</v>
      </c>
      <c r="C82" s="58" t="s">
        <v>165</v>
      </c>
    </row>
    <row r="83" ht="12">
      <c r="A83" s="2" t="s">
        <v>138</v>
      </c>
    </row>
    <row r="84" ht="12">
      <c r="A84" s="2" t="s">
        <v>151</v>
      </c>
    </row>
    <row r="85" ht="12">
      <c r="A85" s="2" t="s">
        <v>166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6"/>
  <sheetViews>
    <sheetView showGridLines="0" zoomScale="70" zoomScaleNormal="70" zoomScaleSheetLayoutView="75" zoomScalePageLayoutView="0" workbookViewId="0" topLeftCell="B4">
      <selection activeCell="B3" sqref="A3:R83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241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3:13" ht="15.75"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7" ht="18">
      <c r="A4" s="15"/>
      <c r="B4" s="15"/>
      <c r="C4" s="238" t="s">
        <v>140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15"/>
      <c r="O4" s="15"/>
      <c r="P4" s="15"/>
      <c r="Q4" s="15"/>
    </row>
    <row r="5" spans="1:17" ht="18">
      <c r="A5" s="15"/>
      <c r="B5" s="15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5"/>
      <c r="O5" s="15"/>
      <c r="P5" s="15"/>
      <c r="Q5" s="15"/>
    </row>
    <row r="6" spans="1:17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15"/>
      <c r="M7" s="15"/>
      <c r="N7" s="15"/>
      <c r="O7" s="15"/>
      <c r="P7" s="15"/>
      <c r="Q7" s="15"/>
    </row>
    <row r="8" spans="1:17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04"/>
      <c r="P8" s="15"/>
      <c r="Q8" s="15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15"/>
      <c r="C27" s="162" t="s">
        <v>133</v>
      </c>
      <c r="D27" s="113"/>
      <c r="E27" s="10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15"/>
      <c r="B28" s="16"/>
      <c r="C28" s="103"/>
      <c r="D28" s="104"/>
      <c r="E28" s="10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">
      <c r="A30" s="15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">
      <c r="A31" s="238" t="s">
        <v>141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15"/>
      <c r="M31" s="15"/>
      <c r="N31" s="15"/>
      <c r="O31" s="15"/>
      <c r="P31" s="15"/>
      <c r="Q31" s="15"/>
    </row>
    <row r="32" spans="1:17" ht="18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5"/>
      <c r="M32" s="15"/>
      <c r="N32" s="15"/>
      <c r="O32" s="15"/>
      <c r="P32" s="15"/>
      <c r="Q32" s="15"/>
    </row>
    <row r="33" spans="1:1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15"/>
      <c r="B54" s="16"/>
      <c r="D54" s="113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">
      <c r="A56" s="15"/>
      <c r="B56" s="16"/>
      <c r="C56" s="161" t="s">
        <v>132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2:17" ht="15">
      <c r="L57" s="15"/>
      <c r="M57" s="15"/>
      <c r="N57" s="15"/>
      <c r="O57" s="15"/>
      <c r="P57" s="15"/>
      <c r="Q57" s="15"/>
    </row>
    <row r="58" spans="1:17" ht="15">
      <c r="A58" s="15"/>
      <c r="B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8">
      <c r="A60" s="15"/>
      <c r="B60" s="15"/>
      <c r="C60" s="239" t="s">
        <v>142</v>
      </c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15"/>
      <c r="O60" s="15"/>
      <c r="P60" s="15"/>
      <c r="Q60" s="15"/>
    </row>
    <row r="61" spans="1:17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ht="15">
      <c r="B77" s="16"/>
    </row>
    <row r="80" ht="15">
      <c r="B80" s="16"/>
    </row>
    <row r="81" spans="4:6" ht="11.25">
      <c r="D81" s="114"/>
      <c r="E81" s="114"/>
      <c r="F81" s="114"/>
    </row>
    <row r="83" spans="3:6" ht="15">
      <c r="C83" s="161" t="s">
        <v>134</v>
      </c>
      <c r="D83" s="163"/>
      <c r="E83" s="163"/>
      <c r="F83" s="163"/>
    </row>
    <row r="86" ht="15">
      <c r="C86" s="16"/>
    </row>
  </sheetData>
  <sheetProtection/>
  <mergeCells count="6">
    <mergeCell ref="A7:K7"/>
    <mergeCell ref="A31:K31"/>
    <mergeCell ref="C60:M60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H21"/>
  <sheetViews>
    <sheetView showGridLines="0" zoomScaleSheetLayoutView="75" zoomScalePageLayoutView="0" workbookViewId="0" topLeftCell="A12">
      <selection activeCell="B2" sqref="B2:BH22"/>
    </sheetView>
  </sheetViews>
  <sheetFormatPr defaultColWidth="9.140625" defaultRowHeight="19.5" customHeight="1"/>
  <cols>
    <col min="1" max="1" width="4.7109375" style="34" customWidth="1"/>
    <col min="2" max="2" width="57.8515625" style="34" customWidth="1"/>
    <col min="3" max="7" width="9.8515625" style="34" hidden="1" customWidth="1"/>
    <col min="8" max="8" width="11.28125" style="34" hidden="1" customWidth="1"/>
    <col min="9" max="9" width="11.8515625" style="34" hidden="1" customWidth="1"/>
    <col min="10" max="11" width="9.8515625" style="34" hidden="1" customWidth="1"/>
    <col min="12" max="12" width="11.140625" style="34" hidden="1" customWidth="1"/>
    <col min="13" max="13" width="11.421875" style="34" hidden="1" customWidth="1"/>
    <col min="14" max="14" width="11.00390625" style="34" hidden="1" customWidth="1"/>
    <col min="15" max="15" width="10.140625" style="34" hidden="1" customWidth="1"/>
    <col min="16" max="16" width="9.8515625" style="34" hidden="1" customWidth="1"/>
    <col min="17" max="17" width="11.28125" style="34" hidden="1" customWidth="1"/>
    <col min="18" max="18" width="10.7109375" style="34" hidden="1" customWidth="1"/>
    <col min="19" max="19" width="11.00390625" style="34" hidden="1" customWidth="1"/>
    <col min="20" max="20" width="14.7109375" style="34" hidden="1" customWidth="1"/>
    <col min="21" max="21" width="2.00390625" style="34" hidden="1" customWidth="1"/>
    <col min="22" max="22" width="10.421875" style="34" hidden="1" customWidth="1"/>
    <col min="23" max="23" width="9.8515625" style="34" hidden="1" customWidth="1"/>
    <col min="24" max="24" width="9.421875" style="34" hidden="1" customWidth="1"/>
    <col min="25" max="25" width="11.28125" style="34" hidden="1" customWidth="1"/>
    <col min="26" max="26" width="10.421875" style="34" hidden="1" customWidth="1"/>
    <col min="27" max="27" width="10.8515625" style="34" hidden="1" customWidth="1"/>
    <col min="28" max="28" width="11.00390625" style="34" hidden="1" customWidth="1"/>
    <col min="29" max="29" width="11.7109375" style="34" hidden="1" customWidth="1"/>
    <col min="30" max="30" width="9.8515625" style="34" hidden="1" customWidth="1"/>
    <col min="31" max="31" width="10.8515625" style="34" hidden="1" customWidth="1"/>
    <col min="32" max="32" width="11.8515625" style="34" hidden="1" customWidth="1"/>
    <col min="33" max="33" width="12.140625" style="34" hidden="1" customWidth="1"/>
    <col min="34" max="34" width="11.421875" style="34" hidden="1" customWidth="1"/>
    <col min="35" max="35" width="11.140625" style="34" hidden="1" customWidth="1"/>
    <col min="36" max="36" width="10.8515625" style="34" hidden="1" customWidth="1"/>
    <col min="37" max="40" width="10.421875" style="34" hidden="1" customWidth="1"/>
    <col min="41" max="41" width="11.421875" style="34" hidden="1" customWidth="1"/>
    <col min="42" max="44" width="11.00390625" style="34" hidden="1" customWidth="1"/>
    <col min="45" max="47" width="12.7109375" style="34" hidden="1" customWidth="1"/>
    <col min="48" max="48" width="12.7109375" style="34" customWidth="1"/>
    <col min="49" max="49" width="11.421875" style="34" customWidth="1"/>
    <col min="50" max="50" width="10.7109375" style="34" customWidth="1"/>
    <col min="51" max="52" width="11.8515625" style="34" customWidth="1"/>
    <col min="53" max="53" width="11.28125" style="34" customWidth="1"/>
    <col min="54" max="54" width="11.421875" style="34" customWidth="1"/>
    <col min="55" max="55" width="10.421875" style="34" customWidth="1"/>
    <col min="56" max="56" width="11.00390625" style="34" customWidth="1"/>
    <col min="57" max="57" width="11.421875" style="34" customWidth="1"/>
    <col min="58" max="58" width="11.00390625" style="34" customWidth="1"/>
    <col min="59" max="59" width="10.421875" style="34" customWidth="1"/>
    <col min="60" max="60" width="9.8515625" style="34" bestFit="1" customWidth="1"/>
    <col min="61" max="16384" width="9.140625" style="34" customWidth="1"/>
  </cols>
  <sheetData>
    <row r="2" spans="1:48" ht="19.5" customHeight="1">
      <c r="A2" s="183"/>
      <c r="B2" s="184" t="s">
        <v>167</v>
      </c>
      <c r="C2" s="185"/>
      <c r="D2" s="185"/>
      <c r="E2" s="185"/>
      <c r="F2" s="186"/>
      <c r="G2" s="187"/>
      <c r="H2" s="186"/>
      <c r="I2" s="187"/>
      <c r="J2" s="187"/>
      <c r="K2" s="186"/>
      <c r="L2" s="186"/>
      <c r="M2" s="187"/>
      <c r="N2" s="187"/>
      <c r="O2" s="188"/>
      <c r="P2" s="187"/>
      <c r="Q2" s="186"/>
      <c r="R2" s="187"/>
      <c r="S2" s="187"/>
      <c r="T2" s="189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</row>
    <row r="3" spans="1:60" ht="19.5" customHeight="1" thickBot="1">
      <c r="A3" s="183"/>
      <c r="B3" s="169"/>
      <c r="C3" s="169"/>
      <c r="D3" s="169"/>
      <c r="E3" s="169"/>
      <c r="F3" s="170"/>
      <c r="G3" s="170"/>
      <c r="H3" s="170"/>
      <c r="I3" s="171"/>
      <c r="J3" s="171"/>
      <c r="K3" s="170"/>
      <c r="L3" s="170"/>
      <c r="M3" s="171"/>
      <c r="N3" s="171"/>
      <c r="O3" s="172"/>
      <c r="P3" s="171"/>
      <c r="Q3" s="170"/>
      <c r="R3" s="171"/>
      <c r="S3" s="171"/>
      <c r="T3" s="173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</row>
    <row r="4" spans="1:60" ht="19.5" customHeight="1">
      <c r="A4" s="183"/>
      <c r="B4" s="215"/>
      <c r="C4" s="167">
        <v>37655</v>
      </c>
      <c r="D4" s="167">
        <v>37681</v>
      </c>
      <c r="E4" s="167">
        <v>37712</v>
      </c>
      <c r="F4" s="167">
        <v>37742</v>
      </c>
      <c r="G4" s="167">
        <v>37773</v>
      </c>
      <c r="H4" s="167">
        <v>37803</v>
      </c>
      <c r="I4" s="167">
        <v>37834</v>
      </c>
      <c r="J4" s="167">
        <v>37865</v>
      </c>
      <c r="K4" s="167">
        <v>37895</v>
      </c>
      <c r="L4" s="167">
        <v>37926</v>
      </c>
      <c r="M4" s="167">
        <v>37956</v>
      </c>
      <c r="N4" s="167">
        <v>37987</v>
      </c>
      <c r="O4" s="168">
        <v>38018</v>
      </c>
      <c r="P4" s="167">
        <v>38047</v>
      </c>
      <c r="Q4" s="167">
        <v>38078</v>
      </c>
      <c r="R4" s="167">
        <v>38108</v>
      </c>
      <c r="S4" s="167">
        <v>38139</v>
      </c>
      <c r="T4" s="167">
        <v>38169</v>
      </c>
      <c r="U4" s="167">
        <v>38200</v>
      </c>
      <c r="V4" s="167">
        <v>38231</v>
      </c>
      <c r="W4" s="167">
        <v>38261</v>
      </c>
      <c r="X4" s="167">
        <v>38292</v>
      </c>
      <c r="Y4" s="167">
        <v>38322</v>
      </c>
      <c r="Z4" s="167">
        <v>38353</v>
      </c>
      <c r="AA4" s="167">
        <v>38384</v>
      </c>
      <c r="AB4" s="167">
        <v>38412</v>
      </c>
      <c r="AC4" s="167">
        <v>38443</v>
      </c>
      <c r="AD4" s="167">
        <v>38473</v>
      </c>
      <c r="AE4" s="167">
        <v>38504</v>
      </c>
      <c r="AF4" s="167">
        <v>38534</v>
      </c>
      <c r="AG4" s="167">
        <v>38565</v>
      </c>
      <c r="AH4" s="167">
        <v>38596</v>
      </c>
      <c r="AI4" s="167">
        <v>38626</v>
      </c>
      <c r="AJ4" s="167">
        <v>38657</v>
      </c>
      <c r="AK4" s="167">
        <v>38687</v>
      </c>
      <c r="AL4" s="167">
        <v>38718</v>
      </c>
      <c r="AM4" s="167">
        <v>38749</v>
      </c>
      <c r="AN4" s="167">
        <v>38777</v>
      </c>
      <c r="AO4" s="167">
        <v>38808</v>
      </c>
      <c r="AP4" s="167">
        <v>38838</v>
      </c>
      <c r="AQ4" s="167">
        <v>38869</v>
      </c>
      <c r="AR4" s="167">
        <v>38929</v>
      </c>
      <c r="AS4" s="167">
        <v>38960</v>
      </c>
      <c r="AT4" s="167">
        <v>38990</v>
      </c>
      <c r="AU4" s="167">
        <v>39021</v>
      </c>
      <c r="AV4" s="167">
        <v>39051</v>
      </c>
      <c r="AW4" s="167">
        <v>39082</v>
      </c>
      <c r="AX4" s="167">
        <v>39113</v>
      </c>
      <c r="AY4" s="167">
        <v>39141</v>
      </c>
      <c r="AZ4" s="167">
        <v>39172</v>
      </c>
      <c r="BA4" s="167">
        <v>39202</v>
      </c>
      <c r="BB4" s="167">
        <v>39233</v>
      </c>
      <c r="BC4" s="167">
        <v>39263</v>
      </c>
      <c r="BD4" s="167">
        <v>39294</v>
      </c>
      <c r="BE4" s="167">
        <v>39325</v>
      </c>
      <c r="BF4" s="167">
        <v>39355</v>
      </c>
      <c r="BG4" s="167">
        <v>39386</v>
      </c>
      <c r="BH4" s="167">
        <v>39416</v>
      </c>
    </row>
    <row r="5" spans="1:60" ht="19.5" customHeight="1">
      <c r="A5" s="214"/>
      <c r="B5" s="71" t="s">
        <v>102</v>
      </c>
      <c r="C5" s="72"/>
      <c r="D5" s="72"/>
      <c r="E5" s="73"/>
      <c r="F5" s="74"/>
      <c r="G5" s="74"/>
      <c r="H5" s="74"/>
      <c r="I5" s="74"/>
      <c r="J5" s="74"/>
      <c r="K5" s="74"/>
      <c r="L5" s="74"/>
      <c r="M5" s="75"/>
      <c r="N5" s="74"/>
      <c r="O5" s="76"/>
      <c r="P5" s="77"/>
      <c r="Q5" s="74"/>
      <c r="R5" s="77"/>
      <c r="S5" s="77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</row>
    <row r="6" spans="1:60" ht="19.5" customHeight="1">
      <c r="A6" s="183"/>
      <c r="B6" s="71"/>
      <c r="C6" s="72"/>
      <c r="D6" s="72"/>
      <c r="E6" s="73"/>
      <c r="F6" s="74"/>
      <c r="G6" s="74"/>
      <c r="H6" s="74"/>
      <c r="I6" s="74"/>
      <c r="J6" s="74"/>
      <c r="K6" s="74"/>
      <c r="L6" s="74"/>
      <c r="M6" s="75"/>
      <c r="N6" s="74"/>
      <c r="O6" s="76"/>
      <c r="P6" s="77"/>
      <c r="Q6" s="74"/>
      <c r="R6" s="77"/>
      <c r="S6" s="77"/>
      <c r="T6" s="78"/>
      <c r="U6" s="77"/>
      <c r="V6" s="77"/>
      <c r="W6" s="77"/>
      <c r="X6" s="77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2:60" ht="19.5" customHeight="1">
      <c r="B7" s="71" t="s">
        <v>146</v>
      </c>
      <c r="C7" s="79">
        <v>2595.44027685</v>
      </c>
      <c r="D7" s="79">
        <v>2187.8368766900003</v>
      </c>
      <c r="E7" s="79">
        <v>2272.4872471500003</v>
      </c>
      <c r="F7" s="80">
        <v>2113.36340838</v>
      </c>
      <c r="G7" s="80">
        <v>2165.8</v>
      </c>
      <c r="H7" s="81">
        <v>2129.6</v>
      </c>
      <c r="I7" s="74">
        <v>1891</v>
      </c>
      <c r="J7" s="80">
        <v>2181.2</v>
      </c>
      <c r="K7" s="80">
        <v>2467.9</v>
      </c>
      <c r="L7" s="80">
        <v>2091</v>
      </c>
      <c r="M7" s="82">
        <v>2110.3</v>
      </c>
      <c r="N7" s="80">
        <v>2710.8702829799995</v>
      </c>
      <c r="O7" s="83">
        <v>1935.4129830699999</v>
      </c>
      <c r="P7" s="84">
        <v>1824.1042653499997</v>
      </c>
      <c r="Q7" s="74">
        <v>2395.6</v>
      </c>
      <c r="R7" s="74">
        <v>1860.4</v>
      </c>
      <c r="S7" s="74">
        <v>1783.2</v>
      </c>
      <c r="T7" s="74">
        <v>1984.6</v>
      </c>
      <c r="U7" s="74">
        <v>1989.9</v>
      </c>
      <c r="V7" s="74">
        <v>1808.2</v>
      </c>
      <c r="W7" s="74">
        <v>2207.6</v>
      </c>
      <c r="X7" s="74">
        <v>1987.9</v>
      </c>
      <c r="Y7" s="74">
        <v>1977.3</v>
      </c>
      <c r="Z7" s="74">
        <v>2327.5</v>
      </c>
      <c r="AA7" s="74">
        <v>2029.5</v>
      </c>
      <c r="AB7" s="74">
        <v>1912.6</v>
      </c>
      <c r="AC7" s="74">
        <v>2303.8</v>
      </c>
      <c r="AD7" s="74">
        <v>2107.1</v>
      </c>
      <c r="AE7" s="74">
        <v>1874.1</v>
      </c>
      <c r="AF7" s="74">
        <v>2354.7</v>
      </c>
      <c r="AG7" s="74">
        <v>2159.1</v>
      </c>
      <c r="AH7" s="74">
        <v>1818.2</v>
      </c>
      <c r="AI7" s="80">
        <v>2245</v>
      </c>
      <c r="AJ7" s="80">
        <v>1902.22246</v>
      </c>
      <c r="AK7" s="80">
        <v>1983.9</v>
      </c>
      <c r="AL7" s="80">
        <v>2705.5</v>
      </c>
      <c r="AM7" s="80">
        <v>2696</v>
      </c>
      <c r="AN7" s="80">
        <v>2458.1</v>
      </c>
      <c r="AO7" s="80">
        <v>3129.7</v>
      </c>
      <c r="AP7" s="80">
        <v>2973</v>
      </c>
      <c r="AQ7" s="80">
        <v>2677.9</v>
      </c>
      <c r="AR7" s="80">
        <v>3313.1</v>
      </c>
      <c r="AS7" s="80">
        <v>2760.7</v>
      </c>
      <c r="AT7" s="80">
        <v>3119.2</v>
      </c>
      <c r="AU7" s="80">
        <v>4104.4</v>
      </c>
      <c r="AV7" s="80">
        <v>3495.2</v>
      </c>
      <c r="AW7" s="80">
        <v>3164.3</v>
      </c>
      <c r="AX7" s="80">
        <v>4865.6</v>
      </c>
      <c r="AY7" s="80">
        <v>4466.4</v>
      </c>
      <c r="AZ7" s="80">
        <v>5690</v>
      </c>
      <c r="BA7" s="80">
        <v>6260.1</v>
      </c>
      <c r="BB7" s="80">
        <v>5643.8</v>
      </c>
      <c r="BC7" s="81">
        <v>6085.3</v>
      </c>
      <c r="BD7" s="81">
        <v>7455.9</v>
      </c>
      <c r="BE7" s="81">
        <v>6359</v>
      </c>
      <c r="BF7" s="81">
        <v>5868.650081049999</v>
      </c>
      <c r="BG7" s="81">
        <v>6499.853570999999</v>
      </c>
      <c r="BH7" s="81">
        <v>6257.02633294</v>
      </c>
    </row>
    <row r="8" spans="2:60" ht="19.5" customHeight="1">
      <c r="B8" s="71" t="s">
        <v>30</v>
      </c>
      <c r="C8" s="85"/>
      <c r="D8" s="85">
        <f>D7-C7</f>
        <v>-407.60340015999964</v>
      </c>
      <c r="E8" s="85">
        <f>E7-D7</f>
        <v>84.65037045999998</v>
      </c>
      <c r="F8" s="85">
        <f>F7-E7</f>
        <v>-159.12383877000048</v>
      </c>
      <c r="G8" s="85">
        <f aca="true" t="shared" si="0" ref="G8:AG8">G7-F7</f>
        <v>52.4365916200004</v>
      </c>
      <c r="H8" s="85">
        <f t="shared" si="0"/>
        <v>-36.20000000000027</v>
      </c>
      <c r="I8" s="85">
        <f t="shared" si="0"/>
        <v>-238.5999999999999</v>
      </c>
      <c r="J8" s="85">
        <f t="shared" si="0"/>
        <v>290.1999999999998</v>
      </c>
      <c r="K8" s="85">
        <f t="shared" si="0"/>
        <v>286.7000000000003</v>
      </c>
      <c r="L8" s="85">
        <f t="shared" si="0"/>
        <v>-376.9000000000001</v>
      </c>
      <c r="M8" s="85">
        <f t="shared" si="0"/>
        <v>19.300000000000182</v>
      </c>
      <c r="N8" s="85">
        <f t="shared" si="0"/>
        <v>600.5702829799993</v>
      </c>
      <c r="O8" s="86">
        <f t="shared" si="0"/>
        <v>-775.4572999099996</v>
      </c>
      <c r="P8" s="81">
        <f t="shared" si="0"/>
        <v>-111.30871772000023</v>
      </c>
      <c r="Q8" s="81">
        <f t="shared" si="0"/>
        <v>571.4957346500003</v>
      </c>
      <c r="R8" s="81">
        <f t="shared" si="0"/>
        <v>-535.1999999999998</v>
      </c>
      <c r="S8" s="81">
        <f t="shared" si="0"/>
        <v>-77.20000000000005</v>
      </c>
      <c r="T8" s="81">
        <f t="shared" si="0"/>
        <v>201.39999999999986</v>
      </c>
      <c r="U8" s="81">
        <f t="shared" si="0"/>
        <v>5.300000000000182</v>
      </c>
      <c r="V8" s="81">
        <f t="shared" si="0"/>
        <v>-181.70000000000005</v>
      </c>
      <c r="W8" s="81">
        <f t="shared" si="0"/>
        <v>399.39999999999986</v>
      </c>
      <c r="X8" s="81">
        <f t="shared" si="0"/>
        <v>-219.69999999999982</v>
      </c>
      <c r="Y8" s="81">
        <f t="shared" si="0"/>
        <v>-10.600000000000136</v>
      </c>
      <c r="Z8" s="81">
        <f t="shared" si="0"/>
        <v>350.20000000000005</v>
      </c>
      <c r="AA8" s="81">
        <f t="shared" si="0"/>
        <v>-298</v>
      </c>
      <c r="AB8" s="81">
        <f t="shared" si="0"/>
        <v>-116.90000000000009</v>
      </c>
      <c r="AC8" s="81">
        <f t="shared" si="0"/>
        <v>391.2000000000003</v>
      </c>
      <c r="AD8" s="81">
        <f t="shared" si="0"/>
        <v>-196.70000000000027</v>
      </c>
      <c r="AE8" s="81">
        <f t="shared" si="0"/>
        <v>-233</v>
      </c>
      <c r="AF8" s="81">
        <f t="shared" si="0"/>
        <v>480.5999999999999</v>
      </c>
      <c r="AG8" s="81">
        <f t="shared" si="0"/>
        <v>-195.5999999999999</v>
      </c>
      <c r="AH8" s="81">
        <f aca="true" t="shared" si="1" ref="AH8:BH8">AH7-AG7</f>
        <v>-340.89999999999986</v>
      </c>
      <c r="AI8" s="81">
        <f t="shared" si="1"/>
        <v>426.79999999999995</v>
      </c>
      <c r="AJ8" s="81">
        <f t="shared" si="1"/>
        <v>-342.77754000000004</v>
      </c>
      <c r="AK8" s="81">
        <f t="shared" si="1"/>
        <v>81.67754000000014</v>
      </c>
      <c r="AL8" s="81">
        <f t="shared" si="1"/>
        <v>721.5999999999999</v>
      </c>
      <c r="AM8" s="81">
        <f t="shared" si="1"/>
        <v>-9.5</v>
      </c>
      <c r="AN8" s="81">
        <f t="shared" si="1"/>
        <v>-237.9000000000001</v>
      </c>
      <c r="AO8" s="81">
        <f t="shared" si="1"/>
        <v>671.5999999999999</v>
      </c>
      <c r="AP8" s="81">
        <f t="shared" si="1"/>
        <v>-156.69999999999982</v>
      </c>
      <c r="AQ8" s="81">
        <f t="shared" si="1"/>
        <v>-295.0999999999999</v>
      </c>
      <c r="AR8" s="81">
        <f t="shared" si="1"/>
        <v>635.1999999999998</v>
      </c>
      <c r="AS8" s="81">
        <f t="shared" si="1"/>
        <v>-552.4000000000001</v>
      </c>
      <c r="AT8" s="81">
        <f t="shared" si="1"/>
        <v>358.5</v>
      </c>
      <c r="AU8" s="81">
        <f t="shared" si="1"/>
        <v>985.1999999999998</v>
      </c>
      <c r="AV8" s="81">
        <f t="shared" si="1"/>
        <v>-609.1999999999998</v>
      </c>
      <c r="AW8" s="81">
        <f t="shared" si="1"/>
        <v>-330.89999999999964</v>
      </c>
      <c r="AX8" s="81">
        <f t="shared" si="1"/>
        <v>1701.3000000000002</v>
      </c>
      <c r="AY8" s="81">
        <f t="shared" si="1"/>
        <v>-399.2000000000007</v>
      </c>
      <c r="AZ8" s="81">
        <f t="shared" si="1"/>
        <v>1223.6000000000004</v>
      </c>
      <c r="BA8" s="81">
        <f t="shared" si="1"/>
        <v>570.1000000000004</v>
      </c>
      <c r="BB8" s="81">
        <f t="shared" si="1"/>
        <v>-616.3000000000002</v>
      </c>
      <c r="BC8" s="81">
        <f t="shared" si="1"/>
        <v>441.5</v>
      </c>
      <c r="BD8" s="81">
        <f t="shared" si="1"/>
        <v>1370.5999999999995</v>
      </c>
      <c r="BE8" s="81">
        <f t="shared" si="1"/>
        <v>-1096.8999999999996</v>
      </c>
      <c r="BF8" s="81">
        <f t="shared" si="1"/>
        <v>-490.34991895000076</v>
      </c>
      <c r="BG8" s="81">
        <f t="shared" si="1"/>
        <v>631.2034899499995</v>
      </c>
      <c r="BH8" s="81">
        <f t="shared" si="1"/>
        <v>-242.8272380599983</v>
      </c>
    </row>
    <row r="9" spans="2:60" ht="19.5" customHeight="1">
      <c r="B9" s="71"/>
      <c r="C9" s="72"/>
      <c r="D9" s="72"/>
      <c r="E9" s="72"/>
      <c r="F9" s="74"/>
      <c r="G9" s="74"/>
      <c r="H9" s="74"/>
      <c r="I9" s="74"/>
      <c r="J9" s="74"/>
      <c r="K9" s="74"/>
      <c r="L9" s="74"/>
      <c r="M9" s="75"/>
      <c r="N9" s="74"/>
      <c r="O9" s="76"/>
      <c r="P9" s="77"/>
      <c r="Q9" s="74"/>
      <c r="R9" s="77"/>
      <c r="S9" s="77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</row>
    <row r="10" spans="2:60" ht="19.5" customHeight="1">
      <c r="B10" s="71" t="s">
        <v>44</v>
      </c>
      <c r="C10" s="72"/>
      <c r="D10" s="72"/>
      <c r="E10" s="72"/>
      <c r="F10" s="74"/>
      <c r="G10" s="74"/>
      <c r="H10" s="74"/>
      <c r="I10" s="74"/>
      <c r="J10" s="74"/>
      <c r="K10" s="74"/>
      <c r="L10" s="74"/>
      <c r="M10" s="75"/>
      <c r="N10" s="74"/>
      <c r="O10" s="76"/>
      <c r="P10" s="77"/>
      <c r="Q10" s="74"/>
      <c r="R10" s="77"/>
      <c r="S10" s="77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</row>
    <row r="11" spans="2:60" ht="19.5" customHeight="1">
      <c r="B11" s="71"/>
      <c r="C11" s="72"/>
      <c r="D11" s="72"/>
      <c r="E11" s="72"/>
      <c r="F11" s="74"/>
      <c r="G11" s="74"/>
      <c r="H11" s="74"/>
      <c r="I11" s="74"/>
      <c r="J11" s="74"/>
      <c r="K11" s="74"/>
      <c r="L11" s="74"/>
      <c r="M11" s="75"/>
      <c r="N11" s="74"/>
      <c r="O11" s="76"/>
      <c r="P11" s="77"/>
      <c r="Q11" s="74"/>
      <c r="R11" s="77"/>
      <c r="S11" s="77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</row>
    <row r="12" spans="2:60" ht="19.5" customHeight="1">
      <c r="B12" s="71" t="s">
        <v>31</v>
      </c>
      <c r="C12" s="72"/>
      <c r="D12" s="72">
        <v>8.0439</v>
      </c>
      <c r="E12" s="72">
        <v>7.7068</v>
      </c>
      <c r="F12" s="87">
        <v>7.6652</v>
      </c>
      <c r="G12" s="87">
        <v>7.9027</v>
      </c>
      <c r="H12" s="87">
        <v>7.5401</v>
      </c>
      <c r="I12" s="74">
        <v>7.3922</v>
      </c>
      <c r="J12" s="74">
        <v>7.3246</v>
      </c>
      <c r="K12" s="74">
        <v>6.9637</v>
      </c>
      <c r="L12" s="74">
        <v>6.7287</v>
      </c>
      <c r="M12" s="75">
        <v>6.5159</v>
      </c>
      <c r="N12" s="74">
        <v>6.9179</v>
      </c>
      <c r="O12" s="75">
        <v>6.7686</v>
      </c>
      <c r="P12" s="74">
        <v>6.6633</v>
      </c>
      <c r="Q12" s="74">
        <v>6.5537</v>
      </c>
      <c r="R12" s="74">
        <v>6.7821</v>
      </c>
      <c r="S12" s="74">
        <v>6.4381</v>
      </c>
      <c r="T12" s="88">
        <v>6.1287</v>
      </c>
      <c r="U12" s="74">
        <v>6.4575</v>
      </c>
      <c r="V12" s="74">
        <v>6.5469</v>
      </c>
      <c r="W12" s="74">
        <v>6.3876</v>
      </c>
      <c r="X12" s="74">
        <v>6.0558</v>
      </c>
      <c r="Y12" s="74">
        <v>5.7323</v>
      </c>
      <c r="Z12" s="74">
        <v>5.9698</v>
      </c>
      <c r="AA12" s="74">
        <v>6.0161</v>
      </c>
      <c r="AB12" s="74">
        <v>6.323</v>
      </c>
      <c r="AC12" s="74">
        <v>6.1521</v>
      </c>
      <c r="AD12" s="74">
        <v>6.3314</v>
      </c>
      <c r="AE12" s="88">
        <v>6.75</v>
      </c>
      <c r="AF12" s="88">
        <v>6.7035</v>
      </c>
      <c r="AG12" s="88">
        <v>6.465</v>
      </c>
      <c r="AH12" s="88">
        <v>6.3578</v>
      </c>
      <c r="AI12" s="88">
        <v>6.5766</v>
      </c>
      <c r="AJ12" s="88">
        <v>6.521</v>
      </c>
      <c r="AK12" s="88">
        <v>6.3591</v>
      </c>
      <c r="AL12" s="88">
        <v>6.0891</v>
      </c>
      <c r="AM12" s="88">
        <v>6.1177</v>
      </c>
      <c r="AN12" s="88">
        <v>6.2544</v>
      </c>
      <c r="AO12" s="88">
        <v>6.072</v>
      </c>
      <c r="AP12" s="88">
        <v>6.3199</v>
      </c>
      <c r="AQ12" s="88">
        <v>6.9549</v>
      </c>
      <c r="AR12" s="88">
        <v>7.0843</v>
      </c>
      <c r="AS12" s="88">
        <v>6.9553</v>
      </c>
      <c r="AT12" s="88">
        <v>7.4098</v>
      </c>
      <c r="AU12" s="88">
        <v>7.6492</v>
      </c>
      <c r="AV12" s="88">
        <v>7.2586</v>
      </c>
      <c r="AW12" s="88">
        <v>7.0406</v>
      </c>
      <c r="AX12" s="88">
        <v>7.1838</v>
      </c>
      <c r="AY12" s="88">
        <v>7.1698</v>
      </c>
      <c r="AZ12" s="88">
        <v>7.3514</v>
      </c>
      <c r="BA12" s="88">
        <v>7.1216</v>
      </c>
      <c r="BB12" s="88">
        <v>7.0187</v>
      </c>
      <c r="BC12" s="88">
        <v>7.1718</v>
      </c>
      <c r="BD12" s="88">
        <v>6.973</v>
      </c>
      <c r="BE12" s="88">
        <v>7.2334</v>
      </c>
      <c r="BF12" s="88">
        <v>7.1282</v>
      </c>
      <c r="BG12" s="88">
        <v>6.7729</v>
      </c>
      <c r="BH12" s="88">
        <v>6.701</v>
      </c>
    </row>
    <row r="13" spans="2:60" ht="19.5" customHeight="1">
      <c r="B13" s="71" t="s">
        <v>32</v>
      </c>
      <c r="C13" s="89"/>
      <c r="D13" s="89">
        <f>1/8.0439</f>
        <v>0.124317806039359</v>
      </c>
      <c r="E13" s="89">
        <f>1/7.7068</f>
        <v>0.12975554056158198</v>
      </c>
      <c r="F13" s="90">
        <f>1/7.6652</f>
        <v>0.13045974012419767</v>
      </c>
      <c r="G13" s="90">
        <f>1/7.9027</f>
        <v>0.12653903096410088</v>
      </c>
      <c r="H13" s="90">
        <f>1/7.5401</f>
        <v>0.1326242357528415</v>
      </c>
      <c r="I13" s="90">
        <f>1/7.3922</f>
        <v>0.13527772516977354</v>
      </c>
      <c r="J13" s="90">
        <f>1/7.3246</f>
        <v>0.1365262266881468</v>
      </c>
      <c r="K13" s="90">
        <f>1/6.9637</f>
        <v>0.14360182087108864</v>
      </c>
      <c r="L13" s="90">
        <f>1/6.7287</f>
        <v>0.14861711771961894</v>
      </c>
      <c r="M13" s="90">
        <f>1/6.5159</f>
        <v>0.15347074080326586</v>
      </c>
      <c r="N13" s="90">
        <f>1/6.9179</f>
        <v>0.14455253761979792</v>
      </c>
      <c r="O13" s="91">
        <f>1/6.7686</f>
        <v>0.14774103950595396</v>
      </c>
      <c r="P13" s="90">
        <f>1/6.6633</f>
        <v>0.1500757882730779</v>
      </c>
      <c r="Q13" s="90">
        <f>1/6.5537</f>
        <v>0.15258556235409004</v>
      </c>
      <c r="R13" s="90">
        <f>1/6.7821</f>
        <v>0.14744695595759427</v>
      </c>
      <c r="S13" s="90">
        <f>1/6.4381</f>
        <v>0.15532532890138395</v>
      </c>
      <c r="T13" s="90">
        <f>1/6.1287</f>
        <v>0.1631667400916997</v>
      </c>
      <c r="U13" s="90">
        <f>1/6.4575</f>
        <v>0.1548586914440573</v>
      </c>
      <c r="V13" s="90">
        <f>1/6.5469</f>
        <v>0.15274404680077594</v>
      </c>
      <c r="W13" s="90">
        <f>1/6.3876</f>
        <v>0.15655332206149414</v>
      </c>
      <c r="X13" s="90">
        <f>1/6.0558</f>
        <v>0.16513094884243207</v>
      </c>
      <c r="Y13" s="90">
        <f>1/5.7323</f>
        <v>0.17445004622926225</v>
      </c>
      <c r="Z13" s="90">
        <f>1/5.9698</f>
        <v>0.1675097993232604</v>
      </c>
      <c r="AA13" s="90">
        <f>1/6.0161</f>
        <v>0.16622064127923405</v>
      </c>
      <c r="AB13" s="90">
        <f>1/6.0101</f>
        <v>0.16638658258598024</v>
      </c>
      <c r="AC13" s="90">
        <f>1/6.1521</f>
        <v>0.16254612246224867</v>
      </c>
      <c r="AD13" s="90">
        <f>1/6.3314</f>
        <v>0.1579429510060966</v>
      </c>
      <c r="AE13" s="90">
        <f>1/6.75</f>
        <v>0.14814814814814814</v>
      </c>
      <c r="AF13" s="90">
        <f>1/6.7035</f>
        <v>0.14917580368464234</v>
      </c>
      <c r="AG13" s="90">
        <f>1/6.465</f>
        <v>0.15467904098994587</v>
      </c>
      <c r="AH13" s="90">
        <f>1/6.3578</f>
        <v>0.1572871118940514</v>
      </c>
      <c r="AI13" s="90">
        <f>1/6.5766</f>
        <v>0.15205425295745523</v>
      </c>
      <c r="AJ13" s="90">
        <f>1/6.521</f>
        <v>0.15335071308081583</v>
      </c>
      <c r="AK13" s="90">
        <f>1/6.3591</f>
        <v>0.157254957462534</v>
      </c>
      <c r="AL13" s="90">
        <f>1/6.0891</f>
        <v>0.1642278826099095</v>
      </c>
      <c r="AM13" s="90">
        <f>1/6.1177</f>
        <v>0.16346012390277392</v>
      </c>
      <c r="AN13" s="90">
        <f>1/6.2544</f>
        <v>0.15988743924277307</v>
      </c>
      <c r="AO13" s="90">
        <f>1/6.072</f>
        <v>0.16469038208168643</v>
      </c>
      <c r="AP13" s="90">
        <f>1/6.3199</f>
        <v>0.15823035174607195</v>
      </c>
      <c r="AQ13" s="90">
        <f>1/6.9549</f>
        <v>0.14378351953299112</v>
      </c>
      <c r="AR13" s="90">
        <f>1/7.0843</f>
        <v>0.14115720678119223</v>
      </c>
      <c r="AS13" s="90">
        <f>1/6.9553</f>
        <v>0.14377525052837403</v>
      </c>
      <c r="AT13" s="90">
        <f>1/7.4098</f>
        <v>0.1349564090798672</v>
      </c>
      <c r="AU13" s="90">
        <f>1/7.6492</f>
        <v>0.13073262563405322</v>
      </c>
      <c r="AV13" s="90">
        <f>1/7.2586</f>
        <v>0.1377676135893974</v>
      </c>
      <c r="AW13" s="90">
        <f>1/7.0406</f>
        <v>0.14203334943044627</v>
      </c>
      <c r="AX13" s="90">
        <f>1/7.1838</f>
        <v>0.13920209359948774</v>
      </c>
      <c r="AY13" s="90">
        <f>1/7.1698</f>
        <v>0.13947390443248067</v>
      </c>
      <c r="AZ13" s="90">
        <f>1/7.3514</f>
        <v>0.13602851157602633</v>
      </c>
      <c r="BA13" s="90">
        <f>1/7.1216</f>
        <v>0.14041788362165805</v>
      </c>
      <c r="BB13" s="90">
        <f>1/7.0187</f>
        <v>0.14247652699217803</v>
      </c>
      <c r="BC13" s="90">
        <f>1/7.1718</f>
        <v>0.13943500934214562</v>
      </c>
      <c r="BD13" s="90">
        <f>1/6.973</f>
        <v>0.1434102968593145</v>
      </c>
      <c r="BE13" s="90">
        <f>1/7.2334</f>
        <v>0.1382475737550806</v>
      </c>
      <c r="BF13" s="90">
        <f>1/7.1282</f>
        <v>0.14028787071069837</v>
      </c>
      <c r="BG13" s="90">
        <f>1/6.7729</f>
        <v>0.14764724121129796</v>
      </c>
      <c r="BH13" s="90">
        <f>1/6.701</f>
        <v>0.14923145799134457</v>
      </c>
    </row>
    <row r="14" spans="2:60" ht="19.5" customHeight="1">
      <c r="B14" s="71" t="s">
        <v>33</v>
      </c>
      <c r="C14" s="72"/>
      <c r="D14" s="72"/>
      <c r="E14" s="72"/>
      <c r="F14" s="87"/>
      <c r="G14" s="87"/>
      <c r="H14" s="87"/>
      <c r="I14" s="74"/>
      <c r="J14" s="74"/>
      <c r="K14" s="74"/>
      <c r="L14" s="74"/>
      <c r="M14" s="75"/>
      <c r="N14" s="74"/>
      <c r="O14" s="76"/>
      <c r="P14" s="77"/>
      <c r="Q14" s="74"/>
      <c r="R14" s="77"/>
      <c r="S14" s="77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</row>
    <row r="15" spans="2:60" ht="19.5" customHeight="1">
      <c r="B15" s="71" t="s">
        <v>34</v>
      </c>
      <c r="C15" s="89"/>
      <c r="D15" s="89">
        <f>1/12.7437</f>
        <v>0.07847014603294176</v>
      </c>
      <c r="E15" s="89">
        <f>1/12.124</f>
        <v>0.08248102936324644</v>
      </c>
      <c r="F15" s="90">
        <f>1/12.4393</f>
        <v>0.08039037566422548</v>
      </c>
      <c r="G15" s="90">
        <f>1/13.1219</f>
        <v>0.07620847590669035</v>
      </c>
      <c r="H15" s="90">
        <f>1/12.26</f>
        <v>0.08156606851549755</v>
      </c>
      <c r="I15" s="90">
        <f>1/11.7868</f>
        <v>0.08484066922319884</v>
      </c>
      <c r="J15" s="90">
        <f>1/11.702</f>
        <v>0.08545547769612032</v>
      </c>
      <c r="K15" s="90">
        <f>1/11.6744</f>
        <v>0.08565750702391557</v>
      </c>
      <c r="L15" s="90">
        <f>1/11.3692</f>
        <v>0.08795693628399535</v>
      </c>
      <c r="M15" s="90">
        <f>1/11.3073</f>
        <v>0.08843844242215207</v>
      </c>
      <c r="N15" s="90">
        <f>1/12.5935</f>
        <v>0.07940604279985707</v>
      </c>
      <c r="O15" s="91">
        <f>1/12.6411</f>
        <v>0.07910703973546607</v>
      </c>
      <c r="P15" s="90">
        <f>1/12.1204</f>
        <v>0.08250552787036732</v>
      </c>
      <c r="Q15" s="90">
        <f>1/11.8224</f>
        <v>0.08458519420760591</v>
      </c>
      <c r="R15" s="90">
        <f>1/12.1262</f>
        <v>0.08246606521416437</v>
      </c>
      <c r="S15" s="90">
        <f>1/11.7619</f>
        <v>0.08502027733614466</v>
      </c>
      <c r="T15" s="90">
        <f>1/11.2923</f>
        <v>0.08855591863482197</v>
      </c>
      <c r="U15" s="90">
        <f>1/11.7446</f>
        <v>0.08514551368288405</v>
      </c>
      <c r="V15" s="90">
        <f>1/11.736</f>
        <v>0.08520790729379686</v>
      </c>
      <c r="W15" s="90">
        <f>1/11.5461</f>
        <v>0.08660933128935312</v>
      </c>
      <c r="X15" s="90">
        <f>1/11.2483</f>
        <v>0.08890232301770044</v>
      </c>
      <c r="Y15" s="90">
        <f>1/11.601</f>
        <v>0.0861994655633135</v>
      </c>
      <c r="Z15" s="90">
        <f>1/11.2168</f>
        <v>0.08915198630625491</v>
      </c>
      <c r="AA15" s="90">
        <f>1/11.3535</f>
        <v>0.08807856608094419</v>
      </c>
      <c r="AB15" s="90">
        <f>1/11.8847</f>
        <v>0.08414179575420498</v>
      </c>
      <c r="AC15" s="90">
        <f>1/11.6567</f>
        <v>0.08578757281220242</v>
      </c>
      <c r="AD15" s="90">
        <f>1/11.7446</f>
        <v>0.08514551368288405</v>
      </c>
      <c r="AE15" s="90">
        <f>1/12.282</f>
        <v>0.08141996417521576</v>
      </c>
      <c r="AF15" s="90">
        <f>1/11.7407</f>
        <v>0.08517379713304998</v>
      </c>
      <c r="AG15" s="90">
        <f>1/11.5992</f>
        <v>0.0862128422649838</v>
      </c>
      <c r="AH15" s="90">
        <f>1/11.4978</f>
        <v>0.08697316008279846</v>
      </c>
      <c r="AI15" s="90">
        <f>1/11.5989</f>
        <v>0.08621507211890782</v>
      </c>
      <c r="AJ15" s="90">
        <f>1/11.2213</f>
        <v>0.08911623430440324</v>
      </c>
      <c r="AK15" s="90">
        <f>1/11.1059</f>
        <v>0.0900422298057789</v>
      </c>
      <c r="AL15" s="90">
        <f>1/10.7529</f>
        <v>0.09299816793609166</v>
      </c>
      <c r="AM15" s="90">
        <f>1/10.6948</f>
        <v>0.09350338482253057</v>
      </c>
      <c r="AN15" s="90">
        <f>1/10.907</f>
        <v>0.09168423947923351</v>
      </c>
      <c r="AO15" s="90">
        <f>1/10.7206</f>
        <v>0.09327836128574894</v>
      </c>
      <c r="AP15" s="90">
        <f>1/11.806</f>
        <v>0.08470269354565475</v>
      </c>
      <c r="AQ15" s="90">
        <f>1/12.8291</f>
        <v>0.07794779056987629</v>
      </c>
      <c r="AR15" s="90">
        <f>1/13.0643</f>
        <v>0.07654447616787735</v>
      </c>
      <c r="AS15" s="90">
        <f>1/13.1608</f>
        <v>0.07598322290438271</v>
      </c>
      <c r="AT15" s="90">
        <f>1/13.9706</f>
        <v>0.07157888709146351</v>
      </c>
      <c r="AU15" s="90">
        <f>1/14.3415</f>
        <v>0.069727713279643</v>
      </c>
      <c r="AV15" s="90">
        <f>1/13.8728</f>
        <v>0.07208350152817024</v>
      </c>
      <c r="AW15" s="90">
        <f>1/13.8362</f>
        <v>0.07227417932669375</v>
      </c>
      <c r="AX15" s="90">
        <f>1/14.0828</f>
        <v>0.07100860624307666</v>
      </c>
      <c r="AY15" s="90">
        <f>1/14.0398</f>
        <v>0.07122608584167865</v>
      </c>
      <c r="AZ15" s="90">
        <f>1/14.3044</f>
        <v>0.06990855960403793</v>
      </c>
      <c r="BA15" s="90">
        <f>1/14.1669</f>
        <v>0.07058707268350874</v>
      </c>
      <c r="BB15" s="90">
        <f>1/13.9229</f>
        <v>0.07182411710204052</v>
      </c>
      <c r="BC15" s="90">
        <f>1/14.2416</f>
        <v>0.07021682956971127</v>
      </c>
      <c r="BD15" s="90">
        <f>1/14.1833</f>
        <v>0.07050545359683572</v>
      </c>
      <c r="BE15" s="90">
        <f>1/14.525</f>
        <v>0.06884681583476764</v>
      </c>
      <c r="BF15" s="90">
        <f>1/14.3767</f>
        <v>0.06955699152100274</v>
      </c>
      <c r="BG15" s="90">
        <f>1/13.8408</f>
        <v>0.0722501589503497</v>
      </c>
      <c r="BH15" s="90">
        <f>1/13.8896</f>
        <v>0.07199631378873401</v>
      </c>
    </row>
    <row r="16" spans="2:60" ht="19.5" customHeight="1">
      <c r="B16" s="71" t="s">
        <v>35</v>
      </c>
      <c r="C16" s="89"/>
      <c r="D16" s="89">
        <f>1/0.0679</f>
        <v>14.727540500736376</v>
      </c>
      <c r="E16" s="89">
        <f>1/0.0642</f>
        <v>15.576323987538942</v>
      </c>
      <c r="F16" s="90">
        <f>1/0.0654</f>
        <v>15.290519877675841</v>
      </c>
      <c r="G16" s="90">
        <f>1/0.0668</f>
        <v>14.970059880239521</v>
      </c>
      <c r="H16" s="90">
        <f>1/0.0636</f>
        <v>15.723270440251572</v>
      </c>
      <c r="I16" s="90">
        <f>1/0.0622</f>
        <v>16.077170418006432</v>
      </c>
      <c r="J16" s="90">
        <f>1/0.0636</f>
        <v>15.723270440251572</v>
      </c>
      <c r="K16" s="90">
        <f>1/0.0636</f>
        <v>15.723270440251572</v>
      </c>
      <c r="L16" s="90">
        <f>1/0.0616</f>
        <v>16.233766233766232</v>
      </c>
      <c r="M16" s="90">
        <f>1/0.0604</f>
        <v>16.556291390728475</v>
      </c>
      <c r="N16" s="90">
        <f>1/0.065</f>
        <v>15.384615384615383</v>
      </c>
      <c r="O16" s="91">
        <f>1/0.0695</f>
        <v>14.388489208633093</v>
      </c>
      <c r="P16" s="90">
        <f>1/0.0611</f>
        <v>16.366612111292962</v>
      </c>
      <c r="Q16" s="90">
        <f>1/0.061</f>
        <v>16.39344262295082</v>
      </c>
      <c r="R16" s="90">
        <f>1/0.0606</f>
        <v>16.5016501650165</v>
      </c>
      <c r="S16" s="90">
        <f>1/0.0588</f>
        <v>17.006802721088437</v>
      </c>
      <c r="T16" s="90">
        <f>1/0.0561</f>
        <v>17.825311942959004</v>
      </c>
      <c r="U16" s="90">
        <f>1/0.0505</f>
        <v>19.801980198019802</v>
      </c>
      <c r="V16" s="90">
        <f>1/0.0595</f>
        <v>16.80672268907563</v>
      </c>
      <c r="W16" s="90">
        <f>1/0.0587</f>
        <v>17.035775127768314</v>
      </c>
      <c r="X16" s="90">
        <f>1/0.0578</f>
        <v>17.301038062283737</v>
      </c>
      <c r="Y16" s="90">
        <f>1/0.052</f>
        <v>19.23076923076923</v>
      </c>
      <c r="Z16" s="90">
        <f>1/0.0578</f>
        <v>17.301038062283737</v>
      </c>
      <c r="AA16" s="90">
        <f>1/0.0574</f>
        <v>17.421602787456447</v>
      </c>
      <c r="AB16" s="90">
        <f>1/0.0572</f>
        <v>17.482517482517483</v>
      </c>
      <c r="AC16" s="90">
        <f>1/0.0572</f>
        <v>17.482517482517483</v>
      </c>
      <c r="AD16" s="90">
        <f>1/0.0594</f>
        <v>16.835016835016834</v>
      </c>
      <c r="AE16" s="90">
        <f>1/0.0621</f>
        <v>16.10305958132045</v>
      </c>
      <c r="AF16" s="90">
        <f>1/0.0599</f>
        <v>16.69449081803005</v>
      </c>
      <c r="AG16" s="90">
        <f>1/0.0585</f>
        <v>17.094017094017094</v>
      </c>
      <c r="AH16" s="90">
        <f>1/0.0573</f>
        <v>17.452006980802793</v>
      </c>
      <c r="AI16" s="90">
        <f>1/0.0573</f>
        <v>17.452006980802793</v>
      </c>
      <c r="AJ16" s="90">
        <f>1/0.0545</f>
        <v>18.34862385321101</v>
      </c>
      <c r="AK16" s="90">
        <f>1/0.0536</f>
        <v>18.65671641791045</v>
      </c>
      <c r="AL16" s="90">
        <f>1/0.0528</f>
        <v>18.93939393939394</v>
      </c>
      <c r="AM16" s="90">
        <f>1/0.0519</f>
        <v>19.267822736030826</v>
      </c>
      <c r="AN16" s="90">
        <f>1/0.0533</f>
        <v>18.76172607879925</v>
      </c>
      <c r="AO16" s="90">
        <f>1/0.0518</f>
        <v>19.305019305019304</v>
      </c>
      <c r="AP16" s="90">
        <f>1/0.0566</f>
        <v>17.6678445229682</v>
      </c>
      <c r="AQ16" s="90">
        <f>1/0.0607</f>
        <v>16.474464579901156</v>
      </c>
      <c r="AR16" s="90">
        <f>1/0.0613</f>
        <v>16.31321370309951</v>
      </c>
      <c r="AS16" s="90">
        <f>1/0.06</f>
        <v>16.666666666666668</v>
      </c>
      <c r="AT16" s="90">
        <f>1/0.0633</f>
        <v>15.797788309636653</v>
      </c>
      <c r="AU16" s="90">
        <f>1/0.0645</f>
        <v>15.503875968992247</v>
      </c>
      <c r="AV16" s="90">
        <f>1/0.0619</f>
        <v>16.155088852988694</v>
      </c>
      <c r="AW16" s="90">
        <f>1/0.0601</f>
        <v>16.638935108153078</v>
      </c>
      <c r="AX16" s="90">
        <f>1/0.0597</f>
        <v>16.75041876046901</v>
      </c>
      <c r="AY16" s="90">
        <f>1/0.0595</f>
        <v>16.80672268907563</v>
      </c>
      <c r="AZ16" s="90">
        <f>1/0.0627</f>
        <v>15.948963317384369</v>
      </c>
      <c r="BA16" s="90">
        <f>1/0.06</f>
        <v>16.666666666666668</v>
      </c>
      <c r="BB16" s="90">
        <f>1/0.0581</f>
        <v>17.21170395869191</v>
      </c>
      <c r="BC16" s="90">
        <f>1/0.0585</f>
        <v>17.094017094017094</v>
      </c>
      <c r="BD16" s="90">
        <f>1/0.0574</f>
        <v>17.421602787456447</v>
      </c>
      <c r="BE16" s="90">
        <f>1/0.062</f>
        <v>16.129032258064516</v>
      </c>
      <c r="BF16" s="90">
        <f>1/0.062</f>
        <v>16.129032258064516</v>
      </c>
      <c r="BG16" s="90">
        <f>1/0.0585</f>
        <v>17.094017094017094</v>
      </c>
      <c r="BH16" s="90">
        <f>1/0.0603</f>
        <v>16.58374792703151</v>
      </c>
    </row>
    <row r="17" spans="2:60" ht="19.5" customHeight="1">
      <c r="B17" s="71" t="s">
        <v>36</v>
      </c>
      <c r="C17" s="92"/>
      <c r="D17" s="92"/>
      <c r="E17" s="92"/>
      <c r="F17" s="74"/>
      <c r="G17" s="74"/>
      <c r="H17" s="74"/>
      <c r="I17" s="74"/>
      <c r="J17" s="74"/>
      <c r="K17" s="74"/>
      <c r="L17" s="74"/>
      <c r="M17" s="74"/>
      <c r="N17" s="74"/>
      <c r="O17" s="76"/>
      <c r="P17" s="77"/>
      <c r="Q17" s="74"/>
      <c r="R17" s="77"/>
      <c r="S17" s="77"/>
      <c r="T17" s="77"/>
      <c r="U17" s="77"/>
      <c r="V17" s="77"/>
      <c r="W17" s="77"/>
      <c r="X17" s="77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</row>
    <row r="18" spans="2:60" ht="19.5" customHeight="1">
      <c r="B18" s="65"/>
      <c r="C18" s="93"/>
      <c r="D18" s="93"/>
      <c r="E18" s="94"/>
      <c r="F18" s="66"/>
      <c r="G18" s="66"/>
      <c r="H18" s="66"/>
      <c r="I18" s="95"/>
      <c r="J18" s="95"/>
      <c r="K18" s="66"/>
      <c r="L18" s="66"/>
      <c r="M18" s="69"/>
      <c r="N18" s="95"/>
      <c r="O18" s="69"/>
      <c r="P18" s="67"/>
      <c r="Q18" s="66"/>
      <c r="R18" s="67"/>
      <c r="S18" s="67"/>
      <c r="T18" s="70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</row>
    <row r="19" spans="2:60" ht="19.5" customHeight="1">
      <c r="B19" s="164" t="s">
        <v>38</v>
      </c>
      <c r="C19" s="93"/>
      <c r="D19" s="93"/>
      <c r="E19" s="65"/>
      <c r="F19" s="66"/>
      <c r="G19" s="66"/>
      <c r="H19" s="66"/>
      <c r="I19" s="67"/>
      <c r="J19" s="67"/>
      <c r="K19" s="66"/>
      <c r="L19" s="66"/>
      <c r="M19" s="68"/>
      <c r="N19" s="67"/>
      <c r="O19" s="69"/>
      <c r="P19" s="67"/>
      <c r="Q19" s="66"/>
      <c r="R19" s="67"/>
      <c r="S19" s="67"/>
      <c r="T19" s="70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</row>
    <row r="20" spans="2:60" ht="19.5" customHeight="1" thickBot="1">
      <c r="B20" s="165" t="s">
        <v>37</v>
      </c>
      <c r="C20" s="96"/>
      <c r="D20" s="96"/>
      <c r="E20" s="97"/>
      <c r="F20" s="98"/>
      <c r="G20" s="98"/>
      <c r="H20" s="98"/>
      <c r="I20" s="99"/>
      <c r="J20" s="99"/>
      <c r="K20" s="98"/>
      <c r="L20" s="98"/>
      <c r="M20" s="100"/>
      <c r="N20" s="99"/>
      <c r="O20" s="101"/>
      <c r="P20" s="99"/>
      <c r="Q20" s="98"/>
      <c r="R20" s="99"/>
      <c r="S20" s="99"/>
      <c r="T20" s="102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</row>
    <row r="21" ht="19.5" customHeight="1">
      <c r="B21" s="108" t="s">
        <v>131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72"/>
  <sheetViews>
    <sheetView showGridLines="0" zoomScale="70" zoomScaleNormal="70" zoomScaleSheetLayoutView="50" zoomScalePageLayoutView="0" workbookViewId="0" topLeftCell="A48">
      <selection activeCell="A4" sqref="A4:R71"/>
    </sheetView>
  </sheetViews>
  <sheetFormatPr defaultColWidth="9.140625" defaultRowHeight="12"/>
  <cols>
    <col min="11" max="11" width="8.7109375" style="0" customWidth="1"/>
  </cols>
  <sheetData>
    <row r="2" spans="1:15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17"/>
      <c r="L2" s="17"/>
      <c r="M2" s="17"/>
      <c r="N2" s="17"/>
      <c r="O2" s="17"/>
    </row>
    <row r="3" spans="1:15" ht="13.5" customHeight="1">
      <c r="A3" s="18"/>
      <c r="B3" s="14"/>
      <c r="C3" s="19"/>
      <c r="D3" s="19"/>
      <c r="E3" s="19"/>
      <c r="F3" s="19"/>
      <c r="G3" s="19"/>
      <c r="H3" s="19"/>
      <c r="I3" s="18"/>
      <c r="J3" s="18"/>
      <c r="K3" s="17"/>
      <c r="L3" s="17"/>
      <c r="M3" s="17"/>
      <c r="N3" s="17"/>
      <c r="O3" s="17"/>
    </row>
    <row r="4" spans="1:15" ht="18">
      <c r="A4" s="239" t="s">
        <v>143</v>
      </c>
      <c r="B4" s="239"/>
      <c r="C4" s="239"/>
      <c r="D4" s="239"/>
      <c r="E4" s="239"/>
      <c r="F4" s="239"/>
      <c r="G4" s="239"/>
      <c r="H4" s="239"/>
      <c r="I4" s="239"/>
      <c r="J4" s="239"/>
      <c r="K4" s="20"/>
      <c r="L4" s="17"/>
      <c r="M4" s="17"/>
      <c r="N4" s="17"/>
      <c r="O4" s="17"/>
    </row>
    <row r="5" spans="1:15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0"/>
      <c r="L5" s="17"/>
      <c r="M5" s="17"/>
      <c r="N5" s="17"/>
      <c r="O5" s="17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8">
      <c r="A38" s="239" t="s">
        <v>139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0"/>
      <c r="L38" s="17"/>
      <c r="M38" s="17"/>
      <c r="N38" s="17"/>
      <c r="O38" s="17"/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102"/>
  <sheetViews>
    <sheetView zoomScalePageLayoutView="0" workbookViewId="0" topLeftCell="B1">
      <selection activeCell="B77" sqref="B77:I102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8" width="9.8515625" style="0" customWidth="1"/>
    <col min="9" max="9" width="8.421875" style="0" customWidth="1"/>
    <col min="10" max="10" width="9.7109375" style="0" bestFit="1" customWidth="1"/>
  </cols>
  <sheetData>
    <row r="1" ht="12" thickBot="1">
      <c r="B1" t="s">
        <v>164</v>
      </c>
    </row>
    <row r="2" spans="1:9" ht="11.25">
      <c r="A2" s="190"/>
      <c r="B2" s="226" t="s">
        <v>86</v>
      </c>
      <c r="C2" s="227"/>
      <c r="D2" s="227"/>
      <c r="E2" s="227"/>
      <c r="F2" s="227"/>
      <c r="G2" s="227"/>
      <c r="H2" s="227"/>
      <c r="I2" s="228"/>
    </row>
    <row r="3" spans="1:9" ht="11.25">
      <c r="A3" s="190"/>
      <c r="B3" s="229" t="s">
        <v>154</v>
      </c>
      <c r="C3" s="230"/>
      <c r="D3" s="230"/>
      <c r="E3" s="230"/>
      <c r="F3" s="230"/>
      <c r="G3" s="230"/>
      <c r="H3" s="230"/>
      <c r="I3" s="231"/>
    </row>
    <row r="4" spans="1:9" ht="11.25">
      <c r="A4" s="190"/>
      <c r="B4" s="192"/>
      <c r="C4" s="130"/>
      <c r="D4" s="48"/>
      <c r="E4" s="130"/>
      <c r="F4" s="223" t="s">
        <v>145</v>
      </c>
      <c r="G4" s="224"/>
      <c r="H4" s="244" t="s">
        <v>147</v>
      </c>
      <c r="I4" s="245"/>
    </row>
    <row r="5" spans="1:9" ht="11.25">
      <c r="A5" s="190"/>
      <c r="B5" s="193"/>
      <c r="C5" s="12">
        <v>39049</v>
      </c>
      <c r="D5" s="129">
        <v>39385</v>
      </c>
      <c r="E5" s="12">
        <v>39416</v>
      </c>
      <c r="F5" s="12" t="s">
        <v>150</v>
      </c>
      <c r="G5" s="109" t="s">
        <v>148</v>
      </c>
      <c r="H5" s="109" t="s">
        <v>150</v>
      </c>
      <c r="I5" s="133" t="s">
        <v>148</v>
      </c>
    </row>
    <row r="6" spans="1:10" ht="11.25">
      <c r="A6" s="190"/>
      <c r="B6" s="194" t="s">
        <v>58</v>
      </c>
      <c r="C6" s="43">
        <v>4874.201683343</v>
      </c>
      <c r="D6" s="43">
        <v>6949.477330049999</v>
      </c>
      <c r="E6" s="43">
        <v>6973.823651890001</v>
      </c>
      <c r="F6" s="43">
        <v>24.34632184000202</v>
      </c>
      <c r="G6" s="43">
        <v>2099.6219685470014</v>
      </c>
      <c r="H6" s="43">
        <v>0.3503331356262854</v>
      </c>
      <c r="I6" s="195">
        <v>43.07622262989666</v>
      </c>
      <c r="J6" s="60"/>
    </row>
    <row r="7" spans="1:10" ht="11.25">
      <c r="A7" s="190"/>
      <c r="B7" s="194" t="s">
        <v>161</v>
      </c>
      <c r="C7" s="43">
        <v>3877.700752543</v>
      </c>
      <c r="D7" s="43">
        <v>6561.618958169999</v>
      </c>
      <c r="E7" s="43">
        <v>6320.706321670001</v>
      </c>
      <c r="F7" s="43">
        <v>-240.91263649999837</v>
      </c>
      <c r="G7" s="43">
        <v>2443.005569127001</v>
      </c>
      <c r="H7" s="43">
        <v>-3.6715426183050965</v>
      </c>
      <c r="I7" s="195">
        <v>63.00139502835218</v>
      </c>
      <c r="J7" s="60"/>
    </row>
    <row r="8" spans="1:10" ht="11.25">
      <c r="A8" s="190"/>
      <c r="B8" s="196" t="s">
        <v>59</v>
      </c>
      <c r="C8" s="13">
        <v>3661.707514623</v>
      </c>
      <c r="D8" s="13">
        <v>6287.971991119999</v>
      </c>
      <c r="E8" s="13">
        <v>6083.220332540001</v>
      </c>
      <c r="F8" s="13">
        <v>-204.75165857999764</v>
      </c>
      <c r="G8" s="13">
        <v>2421.5128179170015</v>
      </c>
      <c r="H8" s="13">
        <v>-3.2562431713937667</v>
      </c>
      <c r="I8" s="197">
        <v>66.13070017872015</v>
      </c>
      <c r="J8" s="60"/>
    </row>
    <row r="9" spans="1:10" ht="11.25">
      <c r="A9" s="190"/>
      <c r="B9" s="196" t="s">
        <v>60</v>
      </c>
      <c r="C9" s="13">
        <v>-1E-08</v>
      </c>
      <c r="D9" s="13">
        <v>9E-08</v>
      </c>
      <c r="E9" s="13">
        <v>-6E-08</v>
      </c>
      <c r="F9" s="13">
        <v>-1.5E-07</v>
      </c>
      <c r="G9" s="13">
        <v>-5E-08</v>
      </c>
      <c r="H9" s="13">
        <v>0</v>
      </c>
      <c r="I9" s="197">
        <v>0</v>
      </c>
      <c r="J9" s="60"/>
    </row>
    <row r="10" spans="1:10" ht="11.25">
      <c r="A10" s="190"/>
      <c r="B10" s="196" t="s">
        <v>61</v>
      </c>
      <c r="C10" s="13">
        <v>215.99323793000002</v>
      </c>
      <c r="D10" s="13">
        <v>273.64696696000004</v>
      </c>
      <c r="E10" s="13">
        <v>237.48598919000003</v>
      </c>
      <c r="F10" s="13">
        <v>-36.16097777000002</v>
      </c>
      <c r="G10" s="13">
        <v>21.492751260000006</v>
      </c>
      <c r="H10" s="13">
        <v>-13.214463208461504</v>
      </c>
      <c r="I10" s="197">
        <v>9.950659319698456</v>
      </c>
      <c r="J10" s="60"/>
    </row>
    <row r="11" spans="1:10" ht="11.25">
      <c r="A11" s="190"/>
      <c r="B11" s="194" t="s">
        <v>62</v>
      </c>
      <c r="C11" s="43">
        <v>996.5009308000001</v>
      </c>
      <c r="D11" s="43">
        <v>387.85837188</v>
      </c>
      <c r="E11" s="43">
        <v>653.11733022</v>
      </c>
      <c r="F11" s="43">
        <v>265.25895834</v>
      </c>
      <c r="G11" s="43">
        <v>-343.3836005800001</v>
      </c>
      <c r="H11" s="43">
        <v>68.39067493999299</v>
      </c>
      <c r="I11" s="195">
        <v>-34.458934253511295</v>
      </c>
      <c r="J11" s="60"/>
    </row>
    <row r="12" spans="1:10" ht="11.25">
      <c r="A12" s="190"/>
      <c r="B12" s="196" t="s">
        <v>125</v>
      </c>
      <c r="C12" s="13">
        <v>980.7794789300001</v>
      </c>
      <c r="D12" s="13">
        <v>371.64366773</v>
      </c>
      <c r="E12" s="13">
        <v>636.3481971599999</v>
      </c>
      <c r="F12" s="13">
        <v>264.7045294299999</v>
      </c>
      <c r="G12" s="13">
        <v>-344.43128177000017</v>
      </c>
      <c r="H12" s="13">
        <v>71.22535708648435</v>
      </c>
      <c r="I12" s="197">
        <v>-35.11811667855898</v>
      </c>
      <c r="J12" s="60"/>
    </row>
    <row r="13" spans="1:10" ht="11.25">
      <c r="A13" s="190"/>
      <c r="B13" s="196" t="s">
        <v>87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97">
        <v>0</v>
      </c>
      <c r="J13" s="60"/>
    </row>
    <row r="14" spans="1:10" ht="11.25">
      <c r="A14" s="190"/>
      <c r="B14" s="196" t="s">
        <v>63</v>
      </c>
      <c r="C14" s="13">
        <v>15.721451870000003</v>
      </c>
      <c r="D14" s="13">
        <v>16.214704150000003</v>
      </c>
      <c r="E14" s="13">
        <v>16.769133060000005</v>
      </c>
      <c r="F14" s="13">
        <v>0.5544289100000022</v>
      </c>
      <c r="G14" s="13">
        <v>1.0476811900000023</v>
      </c>
      <c r="H14" s="13">
        <v>3.4192971075577847</v>
      </c>
      <c r="I14" s="197">
        <v>6.66402313643315</v>
      </c>
      <c r="J14" s="60"/>
    </row>
    <row r="15" spans="1:10" ht="11.25">
      <c r="A15" s="190"/>
      <c r="B15" s="198"/>
      <c r="C15" s="43"/>
      <c r="D15" s="43"/>
      <c r="E15" s="43"/>
      <c r="F15" s="43"/>
      <c r="G15" s="43"/>
      <c r="H15" s="43"/>
      <c r="I15" s="195"/>
      <c r="J15" s="60"/>
    </row>
    <row r="16" spans="1:10" ht="11.25">
      <c r="A16" s="190"/>
      <c r="B16" s="194" t="s">
        <v>64</v>
      </c>
      <c r="C16" s="43">
        <v>4874.224582749998</v>
      </c>
      <c r="D16" s="43">
        <v>6949.507917090002</v>
      </c>
      <c r="E16" s="43">
        <v>6973.838203099998</v>
      </c>
      <c r="F16" s="43">
        <v>24.3302860099966</v>
      </c>
      <c r="G16" s="43">
        <v>2099.61362035</v>
      </c>
      <c r="H16" s="43">
        <v>0.35010084599176233</v>
      </c>
      <c r="I16" s="195">
        <v>43.07584898284303</v>
      </c>
      <c r="J16" s="60"/>
    </row>
    <row r="17" spans="1:10" ht="11.25">
      <c r="A17" s="190"/>
      <c r="B17" s="194" t="s">
        <v>65</v>
      </c>
      <c r="C17" s="43">
        <v>1492.1328241699973</v>
      </c>
      <c r="D17" s="43">
        <v>1537.385949580002</v>
      </c>
      <c r="E17" s="43">
        <v>1654.6487445799967</v>
      </c>
      <c r="F17" s="43">
        <v>117.26279499999464</v>
      </c>
      <c r="G17" s="43">
        <v>162.51592040999935</v>
      </c>
      <c r="H17" s="43">
        <v>7.627414250275256</v>
      </c>
      <c r="I17" s="195">
        <v>10.891518353964182</v>
      </c>
      <c r="J17" s="60"/>
    </row>
    <row r="18" spans="1:10" ht="11.25">
      <c r="A18" s="190"/>
      <c r="B18" s="196" t="s">
        <v>66</v>
      </c>
      <c r="C18" s="13">
        <v>1120.97616795</v>
      </c>
      <c r="D18" s="13">
        <v>1158.76709005</v>
      </c>
      <c r="E18" s="13">
        <v>1221.02452305</v>
      </c>
      <c r="F18" s="13">
        <v>62.25743299999999</v>
      </c>
      <c r="G18" s="13">
        <v>100.04835509999998</v>
      </c>
      <c r="H18" s="13">
        <v>5.372730511125719</v>
      </c>
      <c r="I18" s="197">
        <v>8.925109914063983</v>
      </c>
      <c r="J18" s="60"/>
    </row>
    <row r="19" spans="1:10" ht="11.25">
      <c r="A19" s="190"/>
      <c r="B19" s="196" t="s">
        <v>67</v>
      </c>
      <c r="C19" s="13">
        <v>371.1566562199974</v>
      </c>
      <c r="D19" s="13">
        <v>378.6188595300021</v>
      </c>
      <c r="E19" s="13">
        <v>433.6242215299968</v>
      </c>
      <c r="F19" s="13">
        <v>55.005361999994705</v>
      </c>
      <c r="G19" s="13">
        <v>62.46756530999943</v>
      </c>
      <c r="H19" s="13">
        <v>14.527898073613004</v>
      </c>
      <c r="I19" s="197">
        <v>16.830511931590618</v>
      </c>
      <c r="J19" s="60"/>
    </row>
    <row r="20" spans="1:10" ht="11.25">
      <c r="A20" s="190"/>
      <c r="B20" s="194" t="s">
        <v>126</v>
      </c>
      <c r="C20" s="43">
        <v>3146.5230095700003</v>
      </c>
      <c r="D20" s="43">
        <v>5499.04697443</v>
      </c>
      <c r="E20" s="43">
        <v>5405.971506670001</v>
      </c>
      <c r="F20" s="43">
        <v>-93.0754677599989</v>
      </c>
      <c r="G20" s="43">
        <v>2259.4484971000006</v>
      </c>
      <c r="H20" s="43">
        <v>-1.6925745168715634</v>
      </c>
      <c r="I20" s="195">
        <v>71.80778561694909</v>
      </c>
      <c r="J20" s="60"/>
    </row>
    <row r="21" spans="1:10" ht="11.25">
      <c r="A21" s="190"/>
      <c r="B21" s="196" t="s">
        <v>88</v>
      </c>
      <c r="C21" s="13">
        <v>2106.5732043200005</v>
      </c>
      <c r="D21" s="13">
        <v>4473.93920155</v>
      </c>
      <c r="E21" s="13">
        <v>4141.189770780001</v>
      </c>
      <c r="F21" s="13">
        <v>-332.749430769999</v>
      </c>
      <c r="G21" s="13">
        <v>2034.6165664600003</v>
      </c>
      <c r="H21" s="13">
        <v>-7.437504529670804</v>
      </c>
      <c r="I21" s="197">
        <v>96.58418526769272</v>
      </c>
      <c r="J21" s="60"/>
    </row>
    <row r="22" spans="1:10" ht="11.25">
      <c r="A22" s="190"/>
      <c r="B22" s="199" t="s">
        <v>68</v>
      </c>
      <c r="C22" s="13">
        <v>1039.9498052499998</v>
      </c>
      <c r="D22" s="13">
        <v>1025.1077728799999</v>
      </c>
      <c r="E22" s="13">
        <v>1264.7817358900002</v>
      </c>
      <c r="F22" s="13">
        <v>239.6739630100003</v>
      </c>
      <c r="G22" s="13">
        <v>224.83193064000034</v>
      </c>
      <c r="H22" s="13">
        <v>23.380367347780982</v>
      </c>
      <c r="I22" s="197">
        <v>21.619498316647277</v>
      </c>
      <c r="J22" s="60"/>
    </row>
    <row r="23" spans="1:10" ht="11.25">
      <c r="A23" s="190"/>
      <c r="B23" s="200" t="s">
        <v>0</v>
      </c>
      <c r="C23" s="13">
        <v>3.9126981700000005</v>
      </c>
      <c r="D23" s="13">
        <v>5.6027188500000005</v>
      </c>
      <c r="E23" s="13">
        <v>4.05347013</v>
      </c>
      <c r="F23" s="13">
        <v>-1.5492487200000005</v>
      </c>
      <c r="G23" s="13">
        <v>0.14077195999999947</v>
      </c>
      <c r="H23" s="13">
        <v>-27.65173055221217</v>
      </c>
      <c r="I23" s="197">
        <v>3.597823135946095</v>
      </c>
      <c r="J23" s="60"/>
    </row>
    <row r="24" spans="1:10" ht="11.25">
      <c r="A24" s="190"/>
      <c r="B24" s="200" t="s">
        <v>128</v>
      </c>
      <c r="C24" s="13">
        <v>382.4769714</v>
      </c>
      <c r="D24" s="13">
        <v>61.765387170000004</v>
      </c>
      <c r="E24" s="13">
        <v>63.67998873000001</v>
      </c>
      <c r="F24" s="13">
        <v>1.9146015600000084</v>
      </c>
      <c r="G24" s="13">
        <v>-318.79698267000003</v>
      </c>
      <c r="H24" s="13">
        <v>3.0997969052316527</v>
      </c>
      <c r="I24" s="197">
        <v>-83.35063455012497</v>
      </c>
      <c r="J24" s="60"/>
    </row>
    <row r="25" spans="1:10" ht="12" thickBot="1">
      <c r="A25" s="190"/>
      <c r="B25" s="201" t="s">
        <v>114</v>
      </c>
      <c r="C25" s="45">
        <v>-150.82092055999996</v>
      </c>
      <c r="D25" s="45">
        <v>-154.29311294000001</v>
      </c>
      <c r="E25" s="45">
        <v>-154.51550701</v>
      </c>
      <c r="F25" s="45">
        <v>-0.22239406999997868</v>
      </c>
      <c r="G25" s="45">
        <v>-3.694586450000031</v>
      </c>
      <c r="H25" s="45">
        <v>0.14413739263038985</v>
      </c>
      <c r="I25" s="202">
        <v>2.449651173247044</v>
      </c>
      <c r="J25" s="60"/>
    </row>
    <row r="26" spans="2:10" ht="12" customHeight="1" hidden="1">
      <c r="B26" s="107" t="s">
        <v>84</v>
      </c>
      <c r="C26" s="123">
        <v>-0.00814266000270436</v>
      </c>
      <c r="D26" s="123">
        <v>-0.03842623300442938</v>
      </c>
      <c r="E26" s="123">
        <v>-0.0723114330030512</v>
      </c>
      <c r="F26" s="123">
        <v>-0.03388519999862183</v>
      </c>
      <c r="G26" s="123">
        <v>-0.06416877300034685</v>
      </c>
      <c r="H26" s="123">
        <v>-0.00040083159207271457</v>
      </c>
      <c r="I26" s="123">
        <v>0.00814266000270436</v>
      </c>
      <c r="J26" s="60">
        <f>(E26-C26)/C26*100</f>
        <v>788.0566421665027</v>
      </c>
    </row>
    <row r="27" spans="2:9" ht="11.25">
      <c r="B27" s="49"/>
      <c r="C27" s="50"/>
      <c r="D27" s="50"/>
      <c r="E27" s="50"/>
      <c r="F27" s="50"/>
      <c r="G27" s="50"/>
      <c r="H27" s="50"/>
      <c r="I27" s="51"/>
    </row>
    <row r="28" spans="2:9" ht="11.25">
      <c r="B28" s="49"/>
      <c r="C28" s="50"/>
      <c r="D28" s="50"/>
      <c r="E28" s="50"/>
      <c r="F28" s="50"/>
      <c r="G28" s="50"/>
      <c r="H28" s="50"/>
      <c r="I28" s="51"/>
    </row>
    <row r="29" spans="2:9" ht="12" thickBot="1">
      <c r="B29" s="49"/>
      <c r="C29" s="50"/>
      <c r="D29" s="50"/>
      <c r="E29" s="50"/>
      <c r="F29" s="50"/>
      <c r="G29" s="50"/>
      <c r="H29" s="50"/>
      <c r="I29" s="51"/>
    </row>
    <row r="30" spans="1:10" ht="11.25">
      <c r="A30" s="190"/>
      <c r="B30" s="226" t="s">
        <v>86</v>
      </c>
      <c r="C30" s="227"/>
      <c r="D30" s="227"/>
      <c r="E30" s="227"/>
      <c r="F30" s="227"/>
      <c r="G30" s="227"/>
      <c r="H30" s="227"/>
      <c r="I30" s="228"/>
      <c r="J30" s="190"/>
    </row>
    <row r="31" spans="1:10" ht="11.25">
      <c r="A31" s="190"/>
      <c r="B31" s="229" t="s">
        <v>155</v>
      </c>
      <c r="C31" s="230"/>
      <c r="D31" s="230"/>
      <c r="E31" s="230"/>
      <c r="F31" s="230"/>
      <c r="G31" s="230"/>
      <c r="H31" s="230"/>
      <c r="I31" s="231"/>
      <c r="J31" s="190"/>
    </row>
    <row r="32" spans="1:10" ht="11.25">
      <c r="A32" s="190"/>
      <c r="B32" s="192"/>
      <c r="C32" s="130"/>
      <c r="D32" s="48"/>
      <c r="E32" s="130"/>
      <c r="F32" s="223" t="s">
        <v>145</v>
      </c>
      <c r="G32" s="224"/>
      <c r="H32" s="244" t="s">
        <v>147</v>
      </c>
      <c r="I32" s="245"/>
      <c r="J32" s="190"/>
    </row>
    <row r="33" spans="1:10" ht="11.25">
      <c r="A33" s="190"/>
      <c r="B33" s="193"/>
      <c r="C33" s="12">
        <v>39049</v>
      </c>
      <c r="D33" s="129">
        <v>39385</v>
      </c>
      <c r="E33" s="12">
        <v>39416</v>
      </c>
      <c r="F33" s="12" t="s">
        <v>150</v>
      </c>
      <c r="G33" s="109" t="s">
        <v>148</v>
      </c>
      <c r="H33" s="109" t="s">
        <v>150</v>
      </c>
      <c r="I33" s="133" t="s">
        <v>148</v>
      </c>
      <c r="J33" s="190"/>
    </row>
    <row r="34" spans="1:10" ht="11.25">
      <c r="A34" s="190"/>
      <c r="B34" s="203" t="s">
        <v>58</v>
      </c>
      <c r="C34" s="43">
        <v>35934.820414689995</v>
      </c>
      <c r="D34" s="43">
        <v>40084.9778193433</v>
      </c>
      <c r="E34" s="43">
        <v>40572.86617911254</v>
      </c>
      <c r="F34" s="43">
        <v>487.8883597692402</v>
      </c>
      <c r="G34" s="43">
        <v>4638.045764422546</v>
      </c>
      <c r="H34" s="43">
        <v>1.2171351621250146</v>
      </c>
      <c r="I34" s="195">
        <v>12.906828838711917</v>
      </c>
      <c r="J34" s="190"/>
    </row>
    <row r="35" spans="1:10" ht="11.25">
      <c r="A35" s="190"/>
      <c r="B35" s="203" t="s">
        <v>161</v>
      </c>
      <c r="C35" s="43">
        <v>2173.89600029</v>
      </c>
      <c r="D35" s="43">
        <v>2190.91092377553</v>
      </c>
      <c r="E35" s="43">
        <v>2279.7676028969863</v>
      </c>
      <c r="F35" s="43">
        <v>88.85667912145618</v>
      </c>
      <c r="G35" s="43">
        <v>105.87160260698647</v>
      </c>
      <c r="H35" s="43">
        <v>4.055695654131487</v>
      </c>
      <c r="I35" s="195">
        <v>4.8701319011058075</v>
      </c>
      <c r="J35" s="190"/>
    </row>
    <row r="36" spans="1:10" ht="11.25">
      <c r="A36" s="190"/>
      <c r="B36" s="204" t="s">
        <v>69</v>
      </c>
      <c r="C36" s="13">
        <v>56.889956839999996</v>
      </c>
      <c r="D36" s="13">
        <v>89.69924400000001</v>
      </c>
      <c r="E36" s="13">
        <v>114.187244</v>
      </c>
      <c r="F36" s="13">
        <v>24.488</v>
      </c>
      <c r="G36" s="13">
        <v>57.29728716000001</v>
      </c>
      <c r="H36" s="13">
        <v>27.30011860523596</v>
      </c>
      <c r="I36" s="197">
        <v>100.71599688701754</v>
      </c>
      <c r="J36" s="190"/>
    </row>
    <row r="37" spans="1:10" ht="11.25">
      <c r="A37" s="190"/>
      <c r="B37" s="204" t="s">
        <v>59</v>
      </c>
      <c r="C37" s="13">
        <v>2075.82404345</v>
      </c>
      <c r="D37" s="13">
        <v>2052.34467977553</v>
      </c>
      <c r="E37" s="13">
        <v>2113.846358896986</v>
      </c>
      <c r="F37" s="13">
        <v>61.501679121456164</v>
      </c>
      <c r="G37" s="13">
        <v>38.02231544698634</v>
      </c>
      <c r="H37" s="13">
        <v>2.9966544960753256</v>
      </c>
      <c r="I37" s="197">
        <v>1.8316733331498372</v>
      </c>
      <c r="J37" s="190"/>
    </row>
    <row r="38" spans="1:10" ht="11.25">
      <c r="A38" s="190"/>
      <c r="B38" s="204" t="s">
        <v>70</v>
      </c>
      <c r="C38" s="13">
        <v>41.181999999999995</v>
      </c>
      <c r="D38" s="13">
        <v>48.867</v>
      </c>
      <c r="E38" s="13">
        <v>51.734</v>
      </c>
      <c r="F38" s="13">
        <v>2.8670000000000044</v>
      </c>
      <c r="G38" s="13">
        <v>10.552000000000007</v>
      </c>
      <c r="H38" s="13">
        <v>5.866944973090233</v>
      </c>
      <c r="I38" s="197">
        <v>25.622844932251976</v>
      </c>
      <c r="J38" s="190"/>
    </row>
    <row r="39" spans="1:10" ht="11.25">
      <c r="A39" s="190"/>
      <c r="B39" s="204" t="s">
        <v>71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97">
        <v>0</v>
      </c>
      <c r="J39" s="190"/>
    </row>
    <row r="40" spans="1:10" ht="11.25">
      <c r="A40" s="190"/>
      <c r="B40" s="203" t="s">
        <v>62</v>
      </c>
      <c r="C40" s="43">
        <v>31533.767334539996</v>
      </c>
      <c r="D40" s="43">
        <v>36238.93549193999</v>
      </c>
      <c r="E40" s="43">
        <v>36528.54895024</v>
      </c>
      <c r="F40" s="43">
        <v>289.61345830000937</v>
      </c>
      <c r="G40" s="43">
        <v>4994.781615700005</v>
      </c>
      <c r="H40" s="43">
        <v>0.7991776092993217</v>
      </c>
      <c r="I40" s="195">
        <v>15.839469996434751</v>
      </c>
      <c r="J40" s="190"/>
    </row>
    <row r="41" spans="1:10" ht="11.25">
      <c r="A41" s="190"/>
      <c r="B41" s="204" t="s">
        <v>89</v>
      </c>
      <c r="C41" s="13">
        <v>648.9878594300001</v>
      </c>
      <c r="D41" s="13">
        <v>730.72021597</v>
      </c>
      <c r="E41" s="13">
        <v>783.3578021100001</v>
      </c>
      <c r="F41" s="13">
        <v>52.63758614000005</v>
      </c>
      <c r="G41" s="13">
        <v>134.36994268</v>
      </c>
      <c r="H41" s="13">
        <v>7.203521264308514</v>
      </c>
      <c r="I41" s="197">
        <v>20.704538725580456</v>
      </c>
      <c r="J41" s="190"/>
    </row>
    <row r="42" spans="1:10" ht="11.25">
      <c r="A42" s="190"/>
      <c r="B42" s="204" t="s">
        <v>87</v>
      </c>
      <c r="C42" s="13">
        <v>2571.77088498</v>
      </c>
      <c r="D42" s="13">
        <v>2995.6033267199996</v>
      </c>
      <c r="E42" s="13">
        <v>3025.2887937600003</v>
      </c>
      <c r="F42" s="13">
        <v>29.68546704000073</v>
      </c>
      <c r="G42" s="13">
        <v>453.5179087800002</v>
      </c>
      <c r="H42" s="13">
        <v>0.9909678886791892</v>
      </c>
      <c r="I42" s="197">
        <v>17.634460030195385</v>
      </c>
      <c r="J42" s="190"/>
    </row>
    <row r="43" spans="1:10" ht="11.25">
      <c r="A43" s="190"/>
      <c r="B43" s="204" t="s">
        <v>51</v>
      </c>
      <c r="C43" s="13">
        <v>852.78</v>
      </c>
      <c r="D43" s="13">
        <v>1680.12790411</v>
      </c>
      <c r="E43" s="13">
        <v>1544.9281244899998</v>
      </c>
      <c r="F43" s="13">
        <v>-135.19977962000007</v>
      </c>
      <c r="G43" s="13">
        <v>692.1481244899999</v>
      </c>
      <c r="H43" s="13">
        <v>-8.04699328481294</v>
      </c>
      <c r="I43" s="197">
        <v>81.16373794999882</v>
      </c>
      <c r="J43" s="190"/>
    </row>
    <row r="44" spans="1:10" ht="11.25">
      <c r="A44" s="190"/>
      <c r="B44" s="204" t="s">
        <v>90</v>
      </c>
      <c r="C44" s="13">
        <v>40.004</v>
      </c>
      <c r="D44" s="13">
        <v>21.682</v>
      </c>
      <c r="E44" s="13">
        <v>28.8</v>
      </c>
      <c r="F44" s="13">
        <v>7.118000000000002</v>
      </c>
      <c r="G44" s="13">
        <v>-11.203999999999997</v>
      </c>
      <c r="H44" s="13">
        <v>32.829074808597</v>
      </c>
      <c r="I44" s="197">
        <v>-28.007199280071987</v>
      </c>
      <c r="J44" s="190"/>
    </row>
    <row r="45" spans="1:10" ht="11.25">
      <c r="A45" s="190"/>
      <c r="B45" s="204" t="s">
        <v>99</v>
      </c>
      <c r="C45" s="13">
        <v>168.061</v>
      </c>
      <c r="D45" s="13">
        <v>205.031</v>
      </c>
      <c r="E45" s="13">
        <v>230.609</v>
      </c>
      <c r="F45" s="13">
        <v>25.578000000000003</v>
      </c>
      <c r="G45" s="13">
        <v>62.548</v>
      </c>
      <c r="H45" s="13">
        <v>12.475186679087553</v>
      </c>
      <c r="I45" s="197">
        <v>37.217438906111475</v>
      </c>
      <c r="J45" s="190"/>
    </row>
    <row r="46" spans="1:10" ht="11.25">
      <c r="A46" s="190"/>
      <c r="B46" s="204" t="s">
        <v>72</v>
      </c>
      <c r="C46" s="13">
        <v>9340.2233660526</v>
      </c>
      <c r="D46" s="13">
        <v>10598.242025059999</v>
      </c>
      <c r="E46" s="13">
        <v>10698.010263279999</v>
      </c>
      <c r="F46" s="13">
        <v>99.76823822000006</v>
      </c>
      <c r="G46" s="13">
        <v>1357.786897227399</v>
      </c>
      <c r="H46" s="13">
        <v>0.9413659169520169</v>
      </c>
      <c r="I46" s="197">
        <v>14.53698529483061</v>
      </c>
      <c r="J46" s="190"/>
    </row>
    <row r="47" spans="1:10" ht="11.25">
      <c r="A47" s="190"/>
      <c r="B47" s="204" t="s">
        <v>52</v>
      </c>
      <c r="C47" s="13">
        <v>17911.940224077396</v>
      </c>
      <c r="D47" s="13">
        <v>20007.529020079997</v>
      </c>
      <c r="E47" s="13">
        <v>20217.5549666</v>
      </c>
      <c r="F47" s="13">
        <v>210.02594652000334</v>
      </c>
      <c r="G47" s="13">
        <v>2305.6147425226045</v>
      </c>
      <c r="H47" s="13">
        <v>1.0497345589713585</v>
      </c>
      <c r="I47" s="197">
        <v>12.871943037323092</v>
      </c>
      <c r="J47" s="190"/>
    </row>
    <row r="48" spans="1:10" ht="11.25">
      <c r="A48" s="190"/>
      <c r="B48" s="205" t="s">
        <v>153</v>
      </c>
      <c r="C48" s="13">
        <v>2227.15707986</v>
      </c>
      <c r="D48" s="13">
        <v>1655.131403627778</v>
      </c>
      <c r="E48" s="13">
        <v>1764.5496259755555</v>
      </c>
      <c r="F48" s="13">
        <v>109.4182223477776</v>
      </c>
      <c r="G48" s="13">
        <v>-462.60745388444457</v>
      </c>
      <c r="H48" s="13">
        <v>6.610848063661333</v>
      </c>
      <c r="I48" s="197">
        <v>-20.771209092872976</v>
      </c>
      <c r="J48" s="190"/>
    </row>
    <row r="49" spans="1:10" ht="11.25">
      <c r="A49" s="190"/>
      <c r="B49" s="206"/>
      <c r="C49" s="43"/>
      <c r="D49" s="43"/>
      <c r="E49" s="43"/>
      <c r="F49" s="43"/>
      <c r="G49" s="43"/>
      <c r="H49" s="43"/>
      <c r="I49" s="197"/>
      <c r="J49" s="190"/>
    </row>
    <row r="50" spans="1:10" ht="11.25">
      <c r="A50" s="190"/>
      <c r="B50" s="203" t="s">
        <v>64</v>
      </c>
      <c r="C50" s="43">
        <v>35934.82055435</v>
      </c>
      <c r="D50" s="43">
        <v>40084.97855603797</v>
      </c>
      <c r="E50" s="43">
        <v>40572.866435272554</v>
      </c>
      <c r="F50" s="43">
        <v>487.88787923458585</v>
      </c>
      <c r="G50" s="43">
        <v>4638.045880922553</v>
      </c>
      <c r="H50" s="43">
        <v>1.2171339409662618</v>
      </c>
      <c r="I50" s="195">
        <v>12.906829112747875</v>
      </c>
      <c r="J50" s="190"/>
    </row>
    <row r="51" spans="1:10" ht="11.25">
      <c r="A51" s="190"/>
      <c r="B51" s="207" t="s">
        <v>74</v>
      </c>
      <c r="C51" s="43">
        <v>1043.3576239699998</v>
      </c>
      <c r="D51" s="43">
        <v>1425.6906881000002</v>
      </c>
      <c r="E51" s="43">
        <v>847.3633796900001</v>
      </c>
      <c r="F51" s="43">
        <v>-578.3273084100001</v>
      </c>
      <c r="G51" s="43">
        <v>-195.99424427999975</v>
      </c>
      <c r="H51" s="43">
        <v>-40.5647110721281</v>
      </c>
      <c r="I51" s="195">
        <v>-18.784953478773378</v>
      </c>
      <c r="J51" s="190"/>
    </row>
    <row r="52" spans="1:10" ht="11.25">
      <c r="A52" s="190"/>
      <c r="B52" s="204" t="s">
        <v>59</v>
      </c>
      <c r="C52" s="13">
        <v>514.96629044</v>
      </c>
      <c r="D52" s="13">
        <v>747.9127111800001</v>
      </c>
      <c r="E52" s="13">
        <v>185.80740277</v>
      </c>
      <c r="F52" s="13">
        <v>-562.1053084100001</v>
      </c>
      <c r="G52" s="13">
        <v>-329.15888766999996</v>
      </c>
      <c r="H52" s="13">
        <v>-75.15653899278605</v>
      </c>
      <c r="I52" s="197">
        <v>-63.91853093699753</v>
      </c>
      <c r="J52" s="190"/>
    </row>
    <row r="53" spans="1:10" ht="11.25">
      <c r="A53" s="190"/>
      <c r="B53" s="204" t="s">
        <v>60</v>
      </c>
      <c r="C53" s="13">
        <v>165.397</v>
      </c>
      <c r="D53" s="13">
        <v>457.966</v>
      </c>
      <c r="E53" s="13">
        <v>441.744</v>
      </c>
      <c r="F53" s="13">
        <v>-16.22199999999998</v>
      </c>
      <c r="G53" s="13">
        <v>276.34700000000004</v>
      </c>
      <c r="H53" s="13">
        <v>-3.542184354297039</v>
      </c>
      <c r="I53" s="197">
        <v>167.0810232350043</v>
      </c>
      <c r="J53" s="190"/>
    </row>
    <row r="54" spans="1:10" ht="11.25">
      <c r="A54" s="190"/>
      <c r="B54" s="204" t="s">
        <v>70</v>
      </c>
      <c r="C54" s="13">
        <v>362.99433352999995</v>
      </c>
      <c r="D54" s="13">
        <v>219.81197692</v>
      </c>
      <c r="E54" s="13">
        <v>219.81197692</v>
      </c>
      <c r="F54" s="13">
        <v>0</v>
      </c>
      <c r="G54" s="13">
        <v>-143.18235660999994</v>
      </c>
      <c r="H54" s="13">
        <v>0</v>
      </c>
      <c r="I54" s="197">
        <v>-39.44479111219143</v>
      </c>
      <c r="J54" s="190"/>
    </row>
    <row r="55" spans="1:10" ht="11.25">
      <c r="A55" s="190"/>
      <c r="B55" s="204" t="s">
        <v>75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97">
        <v>0</v>
      </c>
      <c r="J55" s="190"/>
    </row>
    <row r="56" spans="1:10" ht="11.25">
      <c r="A56" s="190"/>
      <c r="B56" s="203" t="s">
        <v>76</v>
      </c>
      <c r="C56" s="43">
        <v>34891.46293038</v>
      </c>
      <c r="D56" s="43">
        <v>38659.287867937965</v>
      </c>
      <c r="E56" s="43">
        <v>39725.50305558255</v>
      </c>
      <c r="F56" s="43">
        <v>1066.215187644586</v>
      </c>
      <c r="G56" s="43">
        <v>4834.040125202548</v>
      </c>
      <c r="H56" s="43">
        <v>2.757979379462006</v>
      </c>
      <c r="I56" s="195">
        <v>13.854506859881614</v>
      </c>
      <c r="J56" s="190"/>
    </row>
    <row r="57" spans="1:10" ht="11.25">
      <c r="A57" s="190"/>
      <c r="B57" s="204" t="s">
        <v>77</v>
      </c>
      <c r="C57" s="13">
        <v>21771.90536547</v>
      </c>
      <c r="D57" s="13">
        <v>24179.464785919998</v>
      </c>
      <c r="E57" s="13">
        <v>25387.848481579997</v>
      </c>
      <c r="F57" s="13">
        <v>1208.383695659999</v>
      </c>
      <c r="G57" s="13">
        <v>3615.9431161099965</v>
      </c>
      <c r="H57" s="13">
        <v>4.997561800307738</v>
      </c>
      <c r="I57" s="197">
        <v>16.608298885245212</v>
      </c>
      <c r="J57" s="190"/>
    </row>
    <row r="58" spans="1:10" ht="11.25">
      <c r="A58" s="190"/>
      <c r="B58" s="208" t="s">
        <v>78</v>
      </c>
      <c r="C58" s="13">
        <v>13412.61211806</v>
      </c>
      <c r="D58" s="13">
        <v>14269.20417704</v>
      </c>
      <c r="E58" s="13">
        <v>15193.490322029997</v>
      </c>
      <c r="F58" s="13">
        <v>924.2861449899974</v>
      </c>
      <c r="G58" s="13">
        <v>1780.8782039699963</v>
      </c>
      <c r="H58" s="13">
        <v>6.477489098356508</v>
      </c>
      <c r="I58" s="197">
        <v>13.27763889907809</v>
      </c>
      <c r="J58" s="190"/>
    </row>
    <row r="59" spans="1:10" ht="11.25">
      <c r="A59" s="190"/>
      <c r="B59" s="208" t="s">
        <v>75</v>
      </c>
      <c r="C59" s="13">
        <v>8359.29324741</v>
      </c>
      <c r="D59" s="13">
        <v>9910.26060888</v>
      </c>
      <c r="E59" s="13">
        <v>10194.35815955</v>
      </c>
      <c r="F59" s="13">
        <v>284.0975506699997</v>
      </c>
      <c r="G59" s="13">
        <v>1835.0649121400002</v>
      </c>
      <c r="H59" s="13">
        <v>2.8667011078945452</v>
      </c>
      <c r="I59" s="197">
        <v>21.952393077112912</v>
      </c>
      <c r="J59" s="190"/>
    </row>
    <row r="60" spans="1:10" ht="11.25">
      <c r="A60" s="190"/>
      <c r="B60" s="204" t="s">
        <v>137</v>
      </c>
      <c r="C60" s="13">
        <v>854.1475203800001</v>
      </c>
      <c r="D60" s="13">
        <v>1194.9459513900001</v>
      </c>
      <c r="E60" s="13">
        <v>1232.52548884</v>
      </c>
      <c r="F60" s="13">
        <v>37.57953744999986</v>
      </c>
      <c r="G60" s="13">
        <v>378.3779684599999</v>
      </c>
      <c r="H60" s="13">
        <v>3.1448734067248916</v>
      </c>
      <c r="I60" s="197">
        <v>44.298901469814496</v>
      </c>
      <c r="J60" s="190"/>
    </row>
    <row r="61" spans="1:10" ht="11.25">
      <c r="A61" s="190"/>
      <c r="B61" s="204" t="s">
        <v>162</v>
      </c>
      <c r="C61" s="13">
        <v>5.861291169999999</v>
      </c>
      <c r="D61" s="13">
        <v>5.99058461</v>
      </c>
      <c r="E61" s="13">
        <v>5.99058461</v>
      </c>
      <c r="F61" s="13">
        <v>0</v>
      </c>
      <c r="G61" s="13">
        <v>0.12929344000000054</v>
      </c>
      <c r="H61" s="13">
        <v>0</v>
      </c>
      <c r="I61" s="197">
        <v>0</v>
      </c>
      <c r="J61" s="190"/>
    </row>
    <row r="62" spans="1:10" ht="11.25">
      <c r="A62" s="190"/>
      <c r="B62" s="204" t="s">
        <v>163</v>
      </c>
      <c r="C62" s="13">
        <v>4108.63491096</v>
      </c>
      <c r="D62" s="13">
        <v>5079.776803424657</v>
      </c>
      <c r="E62" s="13">
        <v>4924.901465610001</v>
      </c>
      <c r="F62" s="13">
        <v>-154.87533781465663</v>
      </c>
      <c r="G62" s="13">
        <v>816.2665546500011</v>
      </c>
      <c r="H62" s="13">
        <v>-3.0488610781135814</v>
      </c>
      <c r="I62" s="197">
        <v>19.86709874057116</v>
      </c>
      <c r="J62" s="190"/>
    </row>
    <row r="63" spans="1:10" ht="11.25">
      <c r="A63" s="190"/>
      <c r="B63" s="204" t="s">
        <v>115</v>
      </c>
      <c r="C63" s="13">
        <v>456.81538750000004</v>
      </c>
      <c r="D63" s="13">
        <v>587.226019</v>
      </c>
      <c r="E63" s="13">
        <v>651.62619055</v>
      </c>
      <c r="F63" s="13">
        <v>64.4001715500001</v>
      </c>
      <c r="G63" s="13">
        <v>194.81080305</v>
      </c>
      <c r="H63" s="13">
        <v>10.966845723162704</v>
      </c>
      <c r="I63" s="197">
        <v>42.64541177479491</v>
      </c>
      <c r="J63" s="190"/>
    </row>
    <row r="64" spans="1:10" ht="11.25">
      <c r="A64" s="190"/>
      <c r="B64" s="204" t="s">
        <v>116</v>
      </c>
      <c r="C64" s="13">
        <v>1192.9761557000002</v>
      </c>
      <c r="D64" s="13">
        <v>785.7318747300001</v>
      </c>
      <c r="E64" s="13">
        <v>799.10996971</v>
      </c>
      <c r="F64" s="13">
        <v>13.3780949799999</v>
      </c>
      <c r="G64" s="13">
        <v>-393.8661859900002</v>
      </c>
      <c r="H64" s="13">
        <v>1.702628518742096</v>
      </c>
      <c r="I64" s="197">
        <v>-33.015428188411036</v>
      </c>
      <c r="J64" s="190"/>
    </row>
    <row r="65" spans="1:10" ht="11.25">
      <c r="A65" s="190"/>
      <c r="B65" s="204" t="s">
        <v>70</v>
      </c>
      <c r="C65" s="13">
        <v>5.306</v>
      </c>
      <c r="D65" s="13">
        <v>6.923</v>
      </c>
      <c r="E65" s="13">
        <v>6.923</v>
      </c>
      <c r="F65" s="13">
        <v>0</v>
      </c>
      <c r="G65" s="13">
        <v>1.617</v>
      </c>
      <c r="H65" s="13">
        <v>0</v>
      </c>
      <c r="I65" s="197">
        <v>23.356926188068755</v>
      </c>
      <c r="J65" s="190"/>
    </row>
    <row r="66" spans="1:10" ht="11.25">
      <c r="A66" s="190"/>
      <c r="B66" s="204" t="s">
        <v>91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97">
        <v>0</v>
      </c>
      <c r="J66" s="190"/>
    </row>
    <row r="67" spans="1:10" ht="11.25">
      <c r="A67" s="190"/>
      <c r="B67" s="204" t="s">
        <v>68</v>
      </c>
      <c r="C67" s="13">
        <v>4368.62153588</v>
      </c>
      <c r="D67" s="13">
        <v>4903.657170850026</v>
      </c>
      <c r="E67" s="13">
        <v>4613.042038468165</v>
      </c>
      <c r="F67" s="13">
        <v>-290.61513238186126</v>
      </c>
      <c r="G67" s="13">
        <v>244.4205025881647</v>
      </c>
      <c r="H67" s="13">
        <v>-5.926497759864491</v>
      </c>
      <c r="I67" s="197">
        <v>5.5949113600413884</v>
      </c>
      <c r="J67" s="190"/>
    </row>
    <row r="68" spans="1:10" ht="11.25">
      <c r="A68" s="190"/>
      <c r="B68" s="204" t="s">
        <v>117</v>
      </c>
      <c r="C68" s="13">
        <v>2125.1513913700005</v>
      </c>
      <c r="D68" s="13">
        <v>1913.6751360673913</v>
      </c>
      <c r="E68" s="13">
        <v>2103.3491884173914</v>
      </c>
      <c r="F68" s="13">
        <v>189.67405235</v>
      </c>
      <c r="G68" s="13">
        <v>-21.80220295260915</v>
      </c>
      <c r="H68" s="13">
        <v>9.9115073804941</v>
      </c>
      <c r="I68" s="197">
        <v>-1.02591293218664</v>
      </c>
      <c r="J68" s="190"/>
    </row>
    <row r="69" spans="1:10" ht="11.25" hidden="1">
      <c r="A69" s="190"/>
      <c r="B69" s="204" t="s">
        <v>118</v>
      </c>
      <c r="C69" s="13"/>
      <c r="D69" s="13"/>
      <c r="E69" s="13"/>
      <c r="F69" s="13"/>
      <c r="G69" s="13"/>
      <c r="H69" s="13"/>
      <c r="I69" s="197"/>
      <c r="J69" s="190"/>
    </row>
    <row r="70" spans="1:10" ht="12" customHeight="1" hidden="1">
      <c r="A70" s="190"/>
      <c r="B70" s="204" t="s">
        <v>118</v>
      </c>
      <c r="C70" s="13"/>
      <c r="D70" s="13"/>
      <c r="E70" s="13"/>
      <c r="F70" s="13"/>
      <c r="G70" s="13"/>
      <c r="H70" s="13"/>
      <c r="I70" s="139"/>
      <c r="J70" s="190"/>
    </row>
    <row r="71" spans="1:10" ht="12" customHeight="1" hidden="1" thickBot="1">
      <c r="A71" s="190"/>
      <c r="B71" s="209"/>
      <c r="C71" s="45">
        <v>-0.00026830013666767627</v>
      </c>
      <c r="D71" s="45"/>
      <c r="E71" s="45">
        <v>-0.00026830013666767627</v>
      </c>
      <c r="F71" s="45"/>
      <c r="G71" s="45">
        <v>-0.0004651664348784834</v>
      </c>
      <c r="H71" s="45"/>
      <c r="I71" s="142">
        <v>-1.2624493881396859E-06</v>
      </c>
      <c r="J71" s="190"/>
    </row>
    <row r="72" spans="1:10" ht="12" customHeight="1" hidden="1">
      <c r="A72" s="190"/>
      <c r="B72" s="209"/>
      <c r="C72" s="64"/>
      <c r="D72" s="64"/>
      <c r="E72" s="64"/>
      <c r="F72" s="64"/>
      <c r="G72" s="43"/>
      <c r="H72" s="43"/>
      <c r="I72" s="137"/>
      <c r="J72" s="190"/>
    </row>
    <row r="73" spans="1:10" ht="12" customHeight="1" thickBot="1">
      <c r="A73" s="190"/>
      <c r="B73" s="210"/>
      <c r="C73" s="211"/>
      <c r="D73" s="211"/>
      <c r="E73" s="211"/>
      <c r="F73" s="211"/>
      <c r="G73" s="45"/>
      <c r="H73" s="45"/>
      <c r="I73" s="142"/>
      <c r="J73" s="190"/>
    </row>
    <row r="74" ht="11.25">
      <c r="B74" s="63"/>
    </row>
    <row r="75" ht="11.25">
      <c r="B75" s="59"/>
    </row>
    <row r="76" ht="12" thickBot="1">
      <c r="B76" s="59"/>
    </row>
    <row r="77" spans="2:10" ht="11.25">
      <c r="B77" s="226" t="s">
        <v>86</v>
      </c>
      <c r="C77" s="227"/>
      <c r="D77" s="227"/>
      <c r="E77" s="227"/>
      <c r="F77" s="227"/>
      <c r="G77" s="227"/>
      <c r="H77" s="227"/>
      <c r="I77" s="228"/>
      <c r="J77" s="190"/>
    </row>
    <row r="78" spans="2:10" ht="11.25">
      <c r="B78" s="229" t="s">
        <v>156</v>
      </c>
      <c r="C78" s="230"/>
      <c r="D78" s="230"/>
      <c r="E78" s="230"/>
      <c r="F78" s="230"/>
      <c r="G78" s="230"/>
      <c r="H78" s="230"/>
      <c r="I78" s="231"/>
      <c r="J78" s="190"/>
    </row>
    <row r="79" spans="2:10" ht="11.25">
      <c r="B79" s="192"/>
      <c r="C79" s="191"/>
      <c r="D79" s="48"/>
      <c r="E79" s="191"/>
      <c r="F79" s="223" t="s">
        <v>145</v>
      </c>
      <c r="G79" s="224"/>
      <c r="H79" s="246" t="s">
        <v>147</v>
      </c>
      <c r="I79" s="247"/>
      <c r="J79" s="190"/>
    </row>
    <row r="80" spans="2:10" ht="11.25">
      <c r="B80" s="193"/>
      <c r="C80" s="12">
        <v>39049</v>
      </c>
      <c r="D80" s="129">
        <v>39385</v>
      </c>
      <c r="E80" s="12">
        <v>39416</v>
      </c>
      <c r="F80" s="12" t="s">
        <v>150</v>
      </c>
      <c r="G80" s="109" t="s">
        <v>148</v>
      </c>
      <c r="H80" s="109" t="s">
        <v>150</v>
      </c>
      <c r="I80" s="133" t="s">
        <v>148</v>
      </c>
      <c r="J80" s="190"/>
    </row>
    <row r="81" spans="2:12" ht="11.25">
      <c r="B81" s="136" t="s">
        <v>58</v>
      </c>
      <c r="C81" s="43">
        <v>35359.203877723</v>
      </c>
      <c r="D81" s="43">
        <v>39579.3252620333</v>
      </c>
      <c r="E81" s="43">
        <v>40661.522210922536</v>
      </c>
      <c r="F81" s="43">
        <v>1082.1969488892355</v>
      </c>
      <c r="G81" s="43">
        <v>5302.318333199539</v>
      </c>
      <c r="H81" s="43">
        <v>2.7342480997960297</v>
      </c>
      <c r="I81" s="195">
        <v>14.995581777054955</v>
      </c>
      <c r="J81" s="61"/>
      <c r="K81" s="61"/>
      <c r="L81" s="60"/>
    </row>
    <row r="82" spans="2:12" ht="11.25">
      <c r="B82" s="136" t="s">
        <v>1</v>
      </c>
      <c r="C82" s="43">
        <v>4625.762157463</v>
      </c>
      <c r="D82" s="43">
        <v>7265.073806675529</v>
      </c>
      <c r="E82" s="43">
        <v>7689.430556146988</v>
      </c>
      <c r="F82" s="43">
        <v>424.3567494714589</v>
      </c>
      <c r="G82" s="43">
        <v>3063.668398683988</v>
      </c>
      <c r="H82" s="43">
        <v>5.841052145699301</v>
      </c>
      <c r="I82" s="195">
        <v>66.23056470253665</v>
      </c>
      <c r="J82" s="61"/>
      <c r="K82" s="61"/>
      <c r="L82" s="60"/>
    </row>
    <row r="83" spans="2:11" ht="11.25">
      <c r="B83" s="136" t="s">
        <v>79</v>
      </c>
      <c r="C83" s="43">
        <v>28337.112335159996</v>
      </c>
      <c r="D83" s="43">
        <v>30463.264759569996</v>
      </c>
      <c r="E83" s="43">
        <v>30969.144319859995</v>
      </c>
      <c r="F83" s="43">
        <v>505.87956028999906</v>
      </c>
      <c r="G83" s="43">
        <v>2632.031984699999</v>
      </c>
      <c r="H83" s="43">
        <v>1.6606216184727136</v>
      </c>
      <c r="I83" s="195">
        <v>9.288285812504043</v>
      </c>
      <c r="J83" s="212"/>
      <c r="K83" s="62"/>
    </row>
    <row r="84" spans="2:11" ht="11.25">
      <c r="B84" s="138" t="s">
        <v>119</v>
      </c>
      <c r="C84" s="13">
        <v>8.38229315999979</v>
      </c>
      <c r="D84" s="13">
        <v>-2065.56189383</v>
      </c>
      <c r="E84" s="13">
        <v>-1767.527167570001</v>
      </c>
      <c r="F84" s="13">
        <v>298.03472625999893</v>
      </c>
      <c r="G84" s="13">
        <v>-1775.9094607300008</v>
      </c>
      <c r="H84" s="13">
        <v>-14.428748281533114</v>
      </c>
      <c r="I84" s="197">
        <v>-21186.439400671657</v>
      </c>
      <c r="J84" s="212"/>
      <c r="K84" s="62"/>
    </row>
    <row r="85" spans="2:11" ht="11.25">
      <c r="B85" s="138" t="s">
        <v>160</v>
      </c>
      <c r="C85" s="13">
        <v>28328.730041999996</v>
      </c>
      <c r="D85" s="13">
        <v>32528.826653399996</v>
      </c>
      <c r="E85" s="13">
        <v>32736.671487429998</v>
      </c>
      <c r="F85" s="13">
        <v>207.84483403000195</v>
      </c>
      <c r="G85" s="13">
        <v>4407.941445430002</v>
      </c>
      <c r="H85" s="13">
        <v>0.6389558290700826</v>
      </c>
      <c r="I85" s="197">
        <v>15.5599684097904</v>
      </c>
      <c r="J85" s="212"/>
      <c r="K85" s="62"/>
    </row>
    <row r="86" spans="2:11" ht="11.25">
      <c r="B86" s="152" t="s">
        <v>120</v>
      </c>
      <c r="C86" s="13">
        <v>852.78</v>
      </c>
      <c r="D86" s="13">
        <v>1680.12790411</v>
      </c>
      <c r="E86" s="13">
        <v>1544.92812449</v>
      </c>
      <c r="F86" s="13">
        <v>-135.19977961999984</v>
      </c>
      <c r="G86" s="13">
        <v>692.1481244900001</v>
      </c>
      <c r="H86" s="13">
        <v>-8.046993284812926</v>
      </c>
      <c r="I86" s="197">
        <v>81.16373794999883</v>
      </c>
      <c r="J86" s="212"/>
      <c r="K86" s="62"/>
    </row>
    <row r="87" spans="2:11" ht="11.25">
      <c r="B87" s="152" t="s">
        <v>121</v>
      </c>
      <c r="C87" s="13">
        <v>40.004</v>
      </c>
      <c r="D87" s="13">
        <v>21.682</v>
      </c>
      <c r="E87" s="13">
        <v>28.8</v>
      </c>
      <c r="F87" s="13">
        <v>7.118000000000002</v>
      </c>
      <c r="G87" s="13">
        <v>-11.203999999999997</v>
      </c>
      <c r="H87" s="13">
        <v>32.829074808597</v>
      </c>
      <c r="I87" s="197">
        <v>-28.007199280071987</v>
      </c>
      <c r="J87" s="212"/>
      <c r="K87" s="62"/>
    </row>
    <row r="88" spans="2:11" ht="11.25">
      <c r="B88" s="152" t="s">
        <v>122</v>
      </c>
      <c r="C88" s="13">
        <v>168.061</v>
      </c>
      <c r="D88" s="13">
        <v>205.031</v>
      </c>
      <c r="E88" s="13">
        <v>230.609</v>
      </c>
      <c r="F88" s="13">
        <v>25.578000000000003</v>
      </c>
      <c r="G88" s="13">
        <v>62.548</v>
      </c>
      <c r="H88" s="13">
        <v>12.475186679087553</v>
      </c>
      <c r="I88" s="197">
        <v>37.217438906111475</v>
      </c>
      <c r="J88" s="212"/>
      <c r="K88" s="62"/>
    </row>
    <row r="89" spans="2:11" ht="11.25">
      <c r="B89" s="152" t="s">
        <v>123</v>
      </c>
      <c r="C89" s="13">
        <v>9340.2233660526</v>
      </c>
      <c r="D89" s="13">
        <v>10598.242025059999</v>
      </c>
      <c r="E89" s="13">
        <v>10698.010263279999</v>
      </c>
      <c r="F89" s="13">
        <v>99.76823822000006</v>
      </c>
      <c r="G89" s="13">
        <v>1357.786897227399</v>
      </c>
      <c r="H89" s="13">
        <v>0.9413659169520169</v>
      </c>
      <c r="I89" s="197">
        <v>14.53698529483061</v>
      </c>
      <c r="J89" s="212"/>
      <c r="K89" s="62"/>
    </row>
    <row r="90" spans="2:11" ht="11.25">
      <c r="B90" s="152" t="s">
        <v>124</v>
      </c>
      <c r="C90" s="13">
        <v>17927.661675947395</v>
      </c>
      <c r="D90" s="13">
        <v>20023.743724229997</v>
      </c>
      <c r="E90" s="13">
        <v>20234.32409966</v>
      </c>
      <c r="F90" s="13">
        <v>210.5803754300032</v>
      </c>
      <c r="G90" s="13">
        <v>2306.6624237126052</v>
      </c>
      <c r="H90" s="13">
        <v>1.0516533687713332</v>
      </c>
      <c r="I90" s="197">
        <v>12.866499075042972</v>
      </c>
      <c r="J90" s="212"/>
      <c r="K90" s="62"/>
    </row>
    <row r="91" spans="2:12" ht="11.25">
      <c r="B91" s="134" t="s">
        <v>73</v>
      </c>
      <c r="C91" s="13">
        <v>2396.3293851</v>
      </c>
      <c r="D91" s="13">
        <v>1850.9866957877778</v>
      </c>
      <c r="E91" s="13">
        <v>2002.9473349155555</v>
      </c>
      <c r="F91" s="13">
        <v>151.96063912777777</v>
      </c>
      <c r="G91" s="13">
        <v>-393.3820501844443</v>
      </c>
      <c r="H91" s="13">
        <v>8.209709960292475</v>
      </c>
      <c r="I91" s="197">
        <v>-16.41602580306498</v>
      </c>
      <c r="J91" s="61"/>
      <c r="K91" s="61"/>
      <c r="L91" s="60"/>
    </row>
    <row r="92" spans="2:11" ht="11.25">
      <c r="B92" s="134"/>
      <c r="C92" s="13"/>
      <c r="D92" s="13"/>
      <c r="E92" s="13"/>
      <c r="F92" s="13"/>
      <c r="G92" s="43"/>
      <c r="H92" s="43"/>
      <c r="I92" s="195"/>
      <c r="J92" s="212"/>
      <c r="K92" s="62"/>
    </row>
    <row r="93" spans="2:12" ht="11.25">
      <c r="B93" s="136" t="s">
        <v>64</v>
      </c>
      <c r="C93" s="43">
        <v>35359.24259401</v>
      </c>
      <c r="D93" s="43">
        <v>39579.37215129797</v>
      </c>
      <c r="E93" s="43">
        <v>40661.55321079254</v>
      </c>
      <c r="F93" s="43">
        <v>1082.181059494571</v>
      </c>
      <c r="G93" s="43">
        <v>5302.310616782539</v>
      </c>
      <c r="H93" s="43">
        <v>2.7342047149150694</v>
      </c>
      <c r="I93" s="195">
        <v>14.995543534862854</v>
      </c>
      <c r="J93" s="61"/>
      <c r="K93" s="61"/>
      <c r="L93" s="60"/>
    </row>
    <row r="94" spans="2:11" ht="11.25">
      <c r="B94" s="136" t="s">
        <v>80</v>
      </c>
      <c r="C94" s="43">
        <v>22617.52391519</v>
      </c>
      <c r="D94" s="43">
        <v>24992.136632889997</v>
      </c>
      <c r="E94" s="43">
        <v>26200.224499619995</v>
      </c>
      <c r="F94" s="43">
        <v>1208.0878667299985</v>
      </c>
      <c r="G94" s="43">
        <v>3582.7005844299965</v>
      </c>
      <c r="H94" s="43">
        <v>4.833871887288493</v>
      </c>
      <c r="I94" s="195">
        <v>15.840374914001279</v>
      </c>
      <c r="J94" s="212"/>
      <c r="K94" s="62"/>
    </row>
    <row r="95" spans="2:11" ht="11.25">
      <c r="B95" s="138" t="s">
        <v>136</v>
      </c>
      <c r="C95" s="13">
        <v>839.6568748299999</v>
      </c>
      <c r="D95" s="13">
        <v>806.54482616</v>
      </c>
      <c r="E95" s="13">
        <v>806.0181482599999</v>
      </c>
      <c r="F95" s="13">
        <v>-0.5266779000000952</v>
      </c>
      <c r="G95" s="13">
        <v>-33.63872657000002</v>
      </c>
      <c r="H95" s="13">
        <v>-0.06530051187701927</v>
      </c>
      <c r="I95" s="197">
        <v>-4.006246787035554</v>
      </c>
      <c r="J95" s="212"/>
      <c r="K95" s="62"/>
    </row>
    <row r="96" spans="2:11" ht="11.25">
      <c r="B96" s="138" t="s">
        <v>81</v>
      </c>
      <c r="C96" s="13">
        <v>13412.712501779999</v>
      </c>
      <c r="D96" s="13">
        <v>14269.340613239998</v>
      </c>
      <c r="E96" s="13">
        <v>15193.857607199996</v>
      </c>
      <c r="F96" s="13">
        <v>924.5169939599982</v>
      </c>
      <c r="G96" s="13">
        <v>1781.145105419997</v>
      </c>
      <c r="H96" s="13">
        <v>6.4790449609295395</v>
      </c>
      <c r="I96" s="197">
        <v>13.279529440324778</v>
      </c>
      <c r="J96" s="212"/>
      <c r="K96" s="62"/>
    </row>
    <row r="97" spans="2:11" ht="11.25">
      <c r="B97" s="138" t="s">
        <v>82</v>
      </c>
      <c r="C97" s="13">
        <v>8359.29324741</v>
      </c>
      <c r="D97" s="13">
        <v>9910.26060888</v>
      </c>
      <c r="E97" s="13">
        <v>10194.35815955</v>
      </c>
      <c r="F97" s="13">
        <v>284.0975506699997</v>
      </c>
      <c r="G97" s="13">
        <v>1835.0649121400002</v>
      </c>
      <c r="H97" s="13">
        <v>2.8667011078945452</v>
      </c>
      <c r="I97" s="197">
        <v>21.952393077112912</v>
      </c>
      <c r="J97" s="212"/>
      <c r="K97" s="62"/>
    </row>
    <row r="98" spans="2:11" ht="11.25">
      <c r="B98" s="138" t="s">
        <v>135</v>
      </c>
      <c r="C98" s="13">
        <v>5.861291169999999</v>
      </c>
      <c r="D98" s="13">
        <v>5.99058461</v>
      </c>
      <c r="E98" s="13">
        <v>5.99058461</v>
      </c>
      <c r="F98" s="13">
        <v>0</v>
      </c>
      <c r="G98" s="13">
        <v>0.12929344000000054</v>
      </c>
      <c r="H98" s="13">
        <v>0</v>
      </c>
      <c r="I98" s="197">
        <v>2.2058866596112225</v>
      </c>
      <c r="J98" s="212"/>
      <c r="K98" s="62"/>
    </row>
    <row r="99" spans="2:12" ht="11.25">
      <c r="B99" s="134" t="s">
        <v>83</v>
      </c>
      <c r="C99" s="13">
        <v>12747.579969989998</v>
      </c>
      <c r="D99" s="13">
        <v>14593.226103017969</v>
      </c>
      <c r="E99" s="13">
        <v>14467.319295782543</v>
      </c>
      <c r="F99" s="13">
        <v>-125.90680723542573</v>
      </c>
      <c r="G99" s="13">
        <v>1719.739325792545</v>
      </c>
      <c r="H99" s="13">
        <v>-0.8627756902182679</v>
      </c>
      <c r="I99" s="197">
        <v>13.490712196676608</v>
      </c>
      <c r="J99" s="61"/>
      <c r="K99" s="61"/>
      <c r="L99" s="60"/>
    </row>
    <row r="100" spans="2:11" ht="12" thickBot="1">
      <c r="B100" s="213"/>
      <c r="C100" s="146"/>
      <c r="D100" s="146"/>
      <c r="E100" s="146"/>
      <c r="F100" s="146"/>
      <c r="G100" s="45"/>
      <c r="H100" s="45"/>
      <c r="I100" s="202"/>
      <c r="J100" s="212"/>
      <c r="K100" s="62"/>
    </row>
    <row r="101" spans="2:9" ht="12" hidden="1" thickBot="1">
      <c r="B101" s="44" t="s">
        <v>84</v>
      </c>
      <c r="C101" s="45">
        <v>-0.002186002311646007</v>
      </c>
      <c r="D101" s="45"/>
      <c r="E101" s="45">
        <v>-0.052496489850454964</v>
      </c>
      <c r="F101" s="45"/>
      <c r="G101" s="45">
        <v>-0.05031048753880896</v>
      </c>
      <c r="H101" s="45"/>
      <c r="I101" s="45">
        <v>-0.00013978667906000553</v>
      </c>
    </row>
    <row r="102" spans="2:9" ht="11.25">
      <c r="B102" s="34"/>
      <c r="C102" s="34"/>
      <c r="D102" s="34"/>
      <c r="E102" s="34"/>
      <c r="F102" s="34"/>
      <c r="G102" s="34"/>
      <c r="H102" s="34"/>
      <c r="I102" s="34"/>
    </row>
  </sheetData>
  <sheetProtection/>
  <mergeCells count="12">
    <mergeCell ref="F79:G79"/>
    <mergeCell ref="H79:I79"/>
    <mergeCell ref="B2:I2"/>
    <mergeCell ref="B3:I3"/>
    <mergeCell ref="B77:I77"/>
    <mergeCell ref="B78:I78"/>
    <mergeCell ref="B30:I30"/>
    <mergeCell ref="B31:I31"/>
    <mergeCell ref="F4:G4"/>
    <mergeCell ref="H4:I4"/>
    <mergeCell ref="F32:G32"/>
    <mergeCell ref="H32:I32"/>
  </mergeCells>
  <printOptions/>
  <pageMargins left="0.75" right="0.75" top="1" bottom="1" header="0.5" footer="0.5"/>
  <pageSetup fitToHeight="2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2007-12-20T12:26:52Z</cp:lastPrinted>
  <dcterms:created xsi:type="dcterms:W3CDTF">1999-07-02T10:21:54Z</dcterms:created>
  <dcterms:modified xsi:type="dcterms:W3CDTF">2007-12-21T13:17:16Z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