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8" yWindow="2388" windowWidth="9588" windowHeight="5736" tabRatio="616" activeTab="0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  <definedName name="_xlnm.Print_Area" localSheetId="0">'Coverpage'!$A$2:$A$20</definedName>
    <definedName name="_xlnm.Print_Area" localSheetId="2">'S2'!$A$1:$L$33</definedName>
    <definedName name="_xlnm.Print_Area" localSheetId="4">'S4'!$A$1:$B$85</definedName>
    <definedName name="_xlnm.Print_Area" localSheetId="5">'S5'!$A$1:$K$58</definedName>
    <definedName name="_xlnm.Print_Area" localSheetId="6">'S6'!$B$2:$Q$20</definedName>
    <definedName name="_xlnm.Print_Area" localSheetId="7">'S7'!$A$1:$O$74</definedName>
    <definedName name="_xlnm.Print_Area" localSheetId="8">'S8'!$B$77:$K$102</definedName>
    <definedName name="Z_1119964D_FB32_11D4_9C51_0090277BCB1A_.wvu.Cols" localSheetId="6" hidden="1">'S6'!$B:$B</definedName>
    <definedName name="Z_1119964D_FB32_11D4_9C51_0090277BCB1A_.wvu.PrintArea" localSheetId="2" hidden="1">'S2'!$A$1:$L$34</definedName>
    <definedName name="Z_1119964D_FB32_11D4_9C51_0090277BCB1A_.wvu.PrintArea" localSheetId="4" hidden="1">'S4'!$A$2:$A$85</definedName>
    <definedName name="Z_1119964D_FB32_11D4_9C51_0090277BCB1A_.wvu.PrintArea" localSheetId="5" hidden="1">'S5'!$A$1:$K$58</definedName>
    <definedName name="Z_1119964D_FB32_11D4_9C51_0090277BCB1A_.wvu.PrintArea" localSheetId="6" hidden="1">'S6'!$B$2:$B$20</definedName>
    <definedName name="Z_1119964D_FB32_11D4_9C51_0090277BCB1A_.wvu.PrintArea" localSheetId="7" hidden="1">'S7'!$A$1:$J$63</definedName>
    <definedName name="Z_4BE07961_847F_11D4_A83A_00D0B7747A8F_.wvu.PrintArea" localSheetId="2" hidden="1">'S2'!$A$1:$L$34</definedName>
    <definedName name="Z_4BE07961_847F_11D4_A83A_00D0B7747A8F_.wvu.PrintArea" localSheetId="4" hidden="1">'S4'!$A$2:$A$85</definedName>
    <definedName name="Z_4BE07961_847F_11D4_A83A_00D0B7747A8F_.wvu.PrintArea" localSheetId="5" hidden="1">'S5'!$A$1:$K$58</definedName>
    <definedName name="Z_4BE07961_847F_11D4_A83A_00D0B7747A8F_.wvu.PrintArea" localSheetId="7" hidden="1">'S7'!$A$1:$J$63</definedName>
    <definedName name="Z_5050E6E2_8401_11D4_81A4_00608C91AED9_.wvu.Cols" localSheetId="6" hidden="1">'S6'!$B:$B</definedName>
    <definedName name="Z_5050E6E2_8401_11D4_81A4_00608C91AED9_.wvu.PrintArea" localSheetId="2" hidden="1">'S2'!$A$1:$L$34</definedName>
    <definedName name="Z_5050E6E2_8401_11D4_81A4_00608C91AED9_.wvu.PrintArea" localSheetId="4" hidden="1">'S4'!$A$2:$A$85</definedName>
    <definedName name="Z_5050E6E2_8401_11D4_81A4_00608C91AED9_.wvu.PrintArea" localSheetId="5" hidden="1">'S5'!$A$1:$K$58</definedName>
    <definedName name="Z_5050E6E2_8401_11D4_81A4_00608C91AED9_.wvu.PrintArea" localSheetId="6" hidden="1">'S6'!$B$2:$B$21</definedName>
    <definedName name="Z_5050E6E2_8401_11D4_81A4_00608C91AED9_.wvu.PrintArea" localSheetId="7" hidden="1">'S7'!$A$1:$I$63</definedName>
  </definedNames>
  <calcPr fullCalcOnLoad="1"/>
</workbook>
</file>

<file path=xl/sharedStrings.xml><?xml version="1.0" encoding="utf-8"?>
<sst xmlns="http://schemas.openxmlformats.org/spreadsheetml/2006/main" count="255" uniqueCount="171">
  <si>
    <t>Trade credit and advances</t>
  </si>
  <si>
    <t>Net Foreign Assets</t>
  </si>
  <si>
    <t>Money Market</t>
  </si>
  <si>
    <t>Bank Rate [%]</t>
  </si>
  <si>
    <t>Mortgage Rate (market avg) [%]</t>
  </si>
  <si>
    <t>Deposit Rate (monthly weighted avg) [%]</t>
  </si>
  <si>
    <t>91-Day Treasury Bills</t>
  </si>
  <si>
    <t xml:space="preserve">  - discount rate [%]</t>
  </si>
  <si>
    <t xml:space="preserve">  - allotted [N$ mln]</t>
  </si>
  <si>
    <t xml:space="preserve">  - redeemed [N$ mln]</t>
  </si>
  <si>
    <t>182-Day Treasury Bills</t>
  </si>
  <si>
    <t>Capital Market</t>
  </si>
  <si>
    <t>Internal Registered Stock (IRS)</t>
  </si>
  <si>
    <t xml:space="preserve">  - yield to maturity [%]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</si>
  <si>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</si>
  <si>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</si>
  <si>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</si>
  <si>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</si>
  <si>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</si>
  <si>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</si>
  <si>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</si>
  <si>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</si>
  <si>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</si>
  <si>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</si>
  <si>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</si>
  <si>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</si>
  <si>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</si>
  <si>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Twelve Months</t>
  </si>
  <si>
    <t>Since last December</t>
  </si>
  <si>
    <t>Month-on-Month</t>
  </si>
  <si>
    <t xml:space="preserve">   Change in reserves</t>
  </si>
  <si>
    <t>NAD per U.S dollar</t>
  </si>
  <si>
    <t>U.S dollar per NAD</t>
  </si>
  <si>
    <t>German mark per NAD</t>
  </si>
  <si>
    <t>British pound per NAD</t>
  </si>
  <si>
    <t>Japanese yen per NAD</t>
  </si>
  <si>
    <t>Spanish peseta per NAD</t>
  </si>
  <si>
    <t>NAD = Namibia Dollar</t>
  </si>
  <si>
    <t>*Source: South African Reserve Bank</t>
  </si>
  <si>
    <t xml:space="preserve">  - Effective yield(%)</t>
  </si>
  <si>
    <t xml:space="preserve">   - Effective yield (%)</t>
  </si>
  <si>
    <t>Prime Rate  (market avg) %</t>
  </si>
  <si>
    <t>365-Day Trearury Bills</t>
  </si>
  <si>
    <t>Debt outstanding (91- &amp;182- &amp; 365 day TBs) [N$ mln]</t>
  </si>
  <si>
    <t>Foreign exchange rates (average)*</t>
  </si>
  <si>
    <t>Other Items Net</t>
  </si>
  <si>
    <t>FINANCIAL INDICATORS</t>
  </si>
  <si>
    <t>BANK OF NAMIBIA</t>
  </si>
  <si>
    <t>RESEARCH DEPARTMENT</t>
  </si>
  <si>
    <t>Statistical Release of Selected Data</t>
  </si>
  <si>
    <t>Other financial corporations</t>
  </si>
  <si>
    <t>Other resident sectors</t>
  </si>
  <si>
    <t>Broad Money Liabilities</t>
  </si>
  <si>
    <t>Currency outside depository corporations</t>
  </si>
  <si>
    <t>Transferable deposits</t>
  </si>
  <si>
    <t>Other deposits</t>
  </si>
  <si>
    <t>Total Assets</t>
  </si>
  <si>
    <t>Deposits</t>
  </si>
  <si>
    <t>Securities other than shares</t>
  </si>
  <si>
    <t xml:space="preserve">Other </t>
  </si>
  <si>
    <t>Claims on residents</t>
  </si>
  <si>
    <t>Other sectors</t>
  </si>
  <si>
    <t>Total Liabilities</t>
  </si>
  <si>
    <t>Monetary Base</t>
  </si>
  <si>
    <t>Currency in circulation</t>
  </si>
  <si>
    <t xml:space="preserve">Liabilities to ODC's </t>
  </si>
  <si>
    <t>Shares and other equity</t>
  </si>
  <si>
    <t>Foreign currency</t>
  </si>
  <si>
    <t>Loans</t>
  </si>
  <si>
    <t>Others</t>
  </si>
  <si>
    <t>Non resident sector</t>
  </si>
  <si>
    <t>Other</t>
  </si>
  <si>
    <t>Resident sector</t>
  </si>
  <si>
    <t>Deposits included in M2</t>
  </si>
  <si>
    <t>Transferable</t>
  </si>
  <si>
    <t>Domestic Claims</t>
  </si>
  <si>
    <t>Broad Money Supply</t>
  </si>
  <si>
    <t>Check</t>
  </si>
  <si>
    <t>Money and Banking Statistics</t>
  </si>
  <si>
    <t>Central government</t>
  </si>
  <si>
    <t>Central bank</t>
  </si>
  <si>
    <t>State and local governments</t>
  </si>
  <si>
    <t xml:space="preserve">   Other financial corporations</t>
  </si>
  <si>
    <t xml:space="preserve">   State and local government</t>
  </si>
  <si>
    <t xml:space="preserve">   Other resident sectors</t>
  </si>
  <si>
    <t>*Domestic Claims = Domestic Credit</t>
  </si>
  <si>
    <t>Consumer Price Inflation [Percentage Change]*</t>
  </si>
  <si>
    <t>Primary auction</t>
  </si>
  <si>
    <t xml:space="preserve">         Foreign exchange reserves (NAD millions)</t>
  </si>
  <si>
    <t>Loans and Advances</t>
  </si>
  <si>
    <t>Mortgage Loans</t>
  </si>
  <si>
    <t xml:space="preserve">Other Loans &amp; Advances </t>
  </si>
  <si>
    <t>Overdraft</t>
  </si>
  <si>
    <t>Installment Credit</t>
  </si>
  <si>
    <t>Leasing Transactions</t>
  </si>
  <si>
    <t>Other Claims</t>
  </si>
  <si>
    <t xml:space="preserve">Loans and Advances </t>
  </si>
  <si>
    <t>Other Loans &amp; Advances</t>
  </si>
  <si>
    <t>Claims on non-resident private sector</t>
  </si>
  <si>
    <t xml:space="preserve">Other Items Net </t>
  </si>
  <si>
    <t>Liabilities to Central Government</t>
  </si>
  <si>
    <t>Liabilities to Central Bank</t>
  </si>
  <si>
    <t>Other liabilities</t>
  </si>
  <si>
    <t>Consolidation Adjustment</t>
  </si>
  <si>
    <t>Other depository corporations</t>
  </si>
  <si>
    <t>Liabilities to residents</t>
  </si>
  <si>
    <t>Liabilities to non-residents</t>
  </si>
  <si>
    <t xml:space="preserve">    </t>
  </si>
  <si>
    <t>Lending Rate (monthly weighted avg) [%]**</t>
  </si>
  <si>
    <t>**International Reserves of the Bank of Namibia</t>
  </si>
  <si>
    <t xml:space="preserve">   Source: NSX</t>
  </si>
  <si>
    <t>Source: CBS &amp; STATSSA</t>
  </si>
  <si>
    <t>Securities other than shares (included in Broad Money)</t>
  </si>
  <si>
    <t xml:space="preserve">Deposits excluded from M2 </t>
  </si>
  <si>
    <t>*  The consumer price inflation is based on the NCPI (nation wide CPI)</t>
  </si>
  <si>
    <t xml:space="preserve">  Selected interest rates</t>
  </si>
  <si>
    <t>Namibia's inflation vs South Africa's CPIX</t>
  </si>
  <si>
    <t xml:space="preserve">    Money Supply (month-on-month  percentage changes)</t>
  </si>
  <si>
    <t>Change in N$ mill</t>
  </si>
  <si>
    <t xml:space="preserve">   **International reserves</t>
  </si>
  <si>
    <t>One year</t>
  </si>
  <si>
    <t>One month</t>
  </si>
  <si>
    <t>** Average lending rate includes both interbank and intragroup rates</t>
  </si>
  <si>
    <t xml:space="preserve"> Other Sectors Claims = Private Sector Credit</t>
  </si>
  <si>
    <t xml:space="preserve">   Other Assets</t>
  </si>
  <si>
    <t>Central Bank (N$ million)</t>
  </si>
  <si>
    <t>Other Depository Corporations (N$ million)</t>
  </si>
  <si>
    <t>Depository Corporations Survey (N$ million)</t>
  </si>
  <si>
    <t>Components of Money Supply (N$ million)</t>
  </si>
  <si>
    <t>Determinants of Money Supply (N$ million)</t>
  </si>
  <si>
    <t>Claims on non residents</t>
  </si>
  <si>
    <t>Securities other than shares included in M2</t>
  </si>
  <si>
    <t>Securities other than shares excluded from M2</t>
  </si>
  <si>
    <t xml:space="preserve"> </t>
  </si>
  <si>
    <t xml:space="preserve">       International reserves** and exchange rates</t>
  </si>
  <si>
    <t xml:space="preserve">    Money Supply (annual  percentage changes)</t>
  </si>
  <si>
    <t xml:space="preserve"> Other sectors claims = Private sector credit</t>
  </si>
  <si>
    <t>*Other sector = Private sector</t>
  </si>
  <si>
    <t>Claims on the *Other sectors  by the Other Depository Corporations (N$ million)</t>
  </si>
  <si>
    <t>Other non-financial corporations (Businesses)</t>
  </si>
  <si>
    <t>Other resident sectors (Individuals)</t>
  </si>
  <si>
    <t xml:space="preserve">   Public non-financial corporations</t>
  </si>
  <si>
    <t xml:space="preserve">   Other non-financial corporations</t>
  </si>
  <si>
    <t>Net claims on Central Government</t>
  </si>
  <si>
    <t>Public non-financial corporations</t>
  </si>
  <si>
    <t>Other non-financial corporations</t>
  </si>
  <si>
    <t xml:space="preserve">% Change </t>
  </si>
  <si>
    <t>% change</t>
  </si>
  <si>
    <t xml:space="preserve">% change </t>
  </si>
  <si>
    <t>Annual Percentage Change</t>
  </si>
  <si>
    <t>Monthly</t>
  </si>
  <si>
    <t xml:space="preserve">             U.S Dollar/Namibia Dollar exchange rate</t>
  </si>
  <si>
    <t>Domestic claims vs claims on other sectors (annual percentage changes)</t>
  </si>
  <si>
    <t xml:space="preserve"> NSX indices</t>
  </si>
  <si>
    <t>Money and Banking Statistics*</t>
  </si>
  <si>
    <t>Total Claims on the Private Sector*</t>
  </si>
  <si>
    <t>Claims on other sectors*</t>
  </si>
  <si>
    <t>DevX</t>
  </si>
  <si>
    <t xml:space="preserve">    volume [000 shares]</t>
  </si>
  <si>
    <t>BoN's net foreign assets</t>
  </si>
  <si>
    <t>Domestic and other sectors claims (month-on-month percentage changes)</t>
  </si>
  <si>
    <t xml:space="preserve">   Unclassified shares and other equity</t>
  </si>
  <si>
    <t>Unclassified shares and other equity</t>
  </si>
  <si>
    <t>Liabilities to central Government</t>
  </si>
  <si>
    <t>Central Government</t>
  </si>
  <si>
    <t>Financial derivatives</t>
  </si>
  <si>
    <t>Net claims on the Central Government</t>
  </si>
  <si>
    <t>Claims on other sectors</t>
  </si>
  <si>
    <t>State and local government</t>
  </si>
  <si>
    <t>Public financial corporations</t>
  </si>
  <si>
    <t>Other assets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</si>
</sst>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#,##0.0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[$€-2]\ #,##0.00_);[Red]\([$€-2]\ #,##0.00\)"/>
    <numFmt numFmtId="200" formatCode="[$-409]dddd\,\ mmmm\ dd\,\ yyyy"/>
    <numFmt numFmtId="201" formatCode="[$-409]mmm\-yy;@"/>
    <numFmt numFmtId="202" formatCode="[$-409]mmmm\-yy;@"/>
    <numFmt numFmtId="203" formatCode="[$-409]h:mm:ss\ AM/PM"/>
    <numFmt numFmtId="204" formatCode="[$-409]mmmm\ d\,\ yyyy;@"/>
    <numFmt numFmtId="205" formatCode="[$-409]d\-mmm\-yy;@"/>
    <numFmt numFmtId="206" formatCode="[$-409]mmmmm\-yy;@"/>
    <numFmt numFmtId="207" formatCode="[$-409]d\-mmm;@"/>
    <numFmt numFmtId="208" formatCode="#,##0.0_);\(#,##0.0\)"/>
    <numFmt numFmtId="209" formatCode="mmm\-yyyy"/>
    <numFmt numFmtId="210" formatCode="0.00_);\(0.00\)"/>
    <numFmt numFmtId="211" formatCode="0.000_);\(0.000\)"/>
    <numFmt numFmtId="212" formatCode="[$-1C09]dd\ mmmm\ yyyy"/>
    <numFmt numFmtId="213" formatCode="[$-1C09]dd\ mmmm\ yyyy;@"/>
    <numFmt numFmtId="214" formatCode="0.00_)"/>
    <numFmt numFmtId="215" formatCode="0.0_)"/>
    <numFmt numFmtId="216" formatCode="0_)"/>
    <numFmt numFmtId="217" formatCode="[$-409]dd\-mmm\-yy;@"/>
    <numFmt numFmtId="218" formatCode="m/d/yy;@"/>
    <numFmt numFmtId="219" formatCode="_-* #,##0.00_-;\-* #,##0.00_-;_-* &quot;-&quot;??_-;_-@_-"/>
    <numFmt numFmtId="220" formatCode="0_);\(0\)"/>
    <numFmt numFmtId="221" formatCode="#,##0.000_);\(#,##0.000\)"/>
    <numFmt numFmtId="222" formatCode="#,##0;[Red]#,##0"/>
  </numFmts>
  <fonts count="120">
    <font>
      <sz val="8"/>
      <name val="Univers"/>
      <family val="0"/>
    </font>
    <font>
      <sz val="12"/>
      <name val="Univers"/>
      <family val="0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sz val="8"/>
      <color indexed="61"/>
      <name val="Arial"/>
      <family val="2"/>
    </font>
    <font>
      <u val="single"/>
      <sz val="6"/>
      <color indexed="12"/>
      <name val="Univers"/>
      <family val="0"/>
    </font>
    <font>
      <u val="single"/>
      <sz val="6"/>
      <color indexed="36"/>
      <name val="Univers"/>
      <family val="0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61"/>
      <name val="Arial"/>
      <family val="2"/>
    </font>
    <font>
      <b/>
      <sz val="9"/>
      <color indexed="61"/>
      <name val="Arial"/>
      <family val="2"/>
    </font>
    <font>
      <sz val="9"/>
      <name val="Arial"/>
      <family val="2"/>
    </font>
    <font>
      <i/>
      <sz val="9"/>
      <color indexed="9"/>
      <name val="Arial"/>
      <family val="2"/>
    </font>
    <font>
      <sz val="8"/>
      <color indexed="9"/>
      <name val="Arial"/>
      <family val="2"/>
    </font>
    <font>
      <b/>
      <sz val="10"/>
      <color indexed="61"/>
      <name val="Univers"/>
      <family val="0"/>
    </font>
    <font>
      <sz val="8"/>
      <name val="Arial"/>
      <family val="2"/>
    </font>
    <font>
      <sz val="12"/>
      <name val="Arial"/>
      <family val="2"/>
    </font>
    <font>
      <sz val="10"/>
      <name val="Univers"/>
      <family val="0"/>
    </font>
    <font>
      <sz val="10"/>
      <color indexed="61"/>
      <name val="Univers"/>
      <family val="0"/>
    </font>
    <font>
      <b/>
      <sz val="9"/>
      <color indexed="37"/>
      <name val="Arial"/>
      <family val="2"/>
    </font>
    <font>
      <b/>
      <sz val="8"/>
      <color indexed="9"/>
      <name val="Arial"/>
      <family val="2"/>
    </font>
    <font>
      <sz val="24"/>
      <name val="Comic Sans MS"/>
      <family val="4"/>
    </font>
    <font>
      <sz val="26"/>
      <name val="Times New Roman"/>
      <family val="1"/>
    </font>
    <font>
      <b/>
      <i/>
      <sz val="24"/>
      <name val="Comic Sans MS"/>
      <family val="4"/>
    </font>
    <font>
      <b/>
      <i/>
      <sz val="26"/>
      <name val="Comic Sans MS"/>
      <family val="4"/>
    </font>
    <font>
      <b/>
      <sz val="26"/>
      <name val="Comic Sans MS"/>
      <family val="4"/>
    </font>
    <font>
      <b/>
      <sz val="8"/>
      <color indexed="61"/>
      <name val="Arial"/>
      <family val="2"/>
    </font>
    <font>
      <i/>
      <sz val="8"/>
      <color indexed="61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61"/>
      <name val="Arial"/>
      <family val="2"/>
    </font>
    <font>
      <sz val="11"/>
      <color indexed="3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i/>
      <sz val="11"/>
      <color indexed="61"/>
      <name val="Arial"/>
      <family val="2"/>
    </font>
    <font>
      <b/>
      <sz val="12"/>
      <name val="Arial"/>
      <family val="2"/>
    </font>
    <font>
      <b/>
      <i/>
      <sz val="22"/>
      <name val="Comic Sans MS"/>
      <family val="4"/>
    </font>
    <font>
      <sz val="8"/>
      <color indexed="37"/>
      <name val="Univers"/>
      <family val="0"/>
    </font>
    <font>
      <b/>
      <sz val="12"/>
      <color indexed="37"/>
      <name val="Arial"/>
      <family val="2"/>
    </font>
    <font>
      <sz val="12"/>
      <color indexed="37"/>
      <name val="Arial"/>
      <family val="2"/>
    </font>
    <font>
      <b/>
      <sz val="14"/>
      <color indexed="37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  <font>
      <sz val="8"/>
      <color indexed="37"/>
      <name val="Arial"/>
      <family val="2"/>
    </font>
    <font>
      <sz val="8"/>
      <color indexed="16"/>
      <name val="Univers"/>
      <family val="0"/>
    </font>
    <font>
      <sz val="10"/>
      <name val="Arial"/>
      <family val="2"/>
    </font>
    <font>
      <u val="single"/>
      <sz val="8"/>
      <color indexed="61"/>
      <name val="Arial"/>
      <family val="2"/>
    </font>
    <font>
      <b/>
      <u val="single"/>
      <sz val="8"/>
      <color indexed="61"/>
      <name val="Arial"/>
      <family val="2"/>
    </font>
    <font>
      <b/>
      <sz val="16"/>
      <color indexed="61"/>
      <name val="Arial"/>
      <family val="2"/>
    </font>
    <font>
      <sz val="16"/>
      <color indexed="61"/>
      <name val="Arial"/>
      <family val="2"/>
    </font>
    <font>
      <b/>
      <sz val="12.5"/>
      <color indexed="61"/>
      <name val="Arial"/>
      <family val="2"/>
    </font>
    <font>
      <sz val="12.5"/>
      <color indexed="61"/>
      <name val="Arial"/>
      <family val="2"/>
    </font>
    <font>
      <sz val="10"/>
      <color indexed="37"/>
      <name val="Univers"/>
      <family val="0"/>
    </font>
    <font>
      <sz val="10"/>
      <color indexed="37"/>
      <name val="Arial"/>
      <family val="2"/>
    </font>
    <font>
      <sz val="10"/>
      <color indexed="25"/>
      <name val="Arial"/>
      <family val="0"/>
    </font>
    <font>
      <sz val="12"/>
      <color indexed="25"/>
      <name val="Arial"/>
      <family val="0"/>
    </font>
    <font>
      <sz val="11"/>
      <color indexed="25"/>
      <name val="Arial"/>
      <family val="0"/>
    </font>
    <font>
      <sz val="9"/>
      <color indexed="25"/>
      <name val="Arial"/>
      <family val="0"/>
    </font>
    <font>
      <sz val="7"/>
      <color indexed="25"/>
      <name val="Arial"/>
      <family val="0"/>
    </font>
    <font>
      <sz val="8"/>
      <color indexed="25"/>
      <name val="Arial"/>
      <family val="0"/>
    </font>
    <font>
      <sz val="16"/>
      <color indexed="25"/>
      <name val="Arial"/>
      <family val="0"/>
    </font>
    <font>
      <sz val="14"/>
      <color indexed="25"/>
      <name val="Arial"/>
      <family val="0"/>
    </font>
    <font>
      <sz val="8.5"/>
      <color indexed="25"/>
      <name val="Arial"/>
      <family val="0"/>
    </font>
    <font>
      <sz val="8"/>
      <color indexed="8"/>
      <name val="Arial"/>
      <family val="0"/>
    </font>
    <font>
      <sz val="14"/>
      <color indexed="16"/>
      <name val="Arial"/>
      <family val="0"/>
    </font>
    <font>
      <sz val="12"/>
      <color indexed="16"/>
      <name val="Arial"/>
      <family val="0"/>
    </font>
    <font>
      <sz val="9"/>
      <color indexed="16"/>
      <name val="Arial"/>
      <family val="0"/>
    </font>
    <font>
      <sz val="13.75"/>
      <color indexed="25"/>
      <name val="Arial"/>
      <family val="0"/>
    </font>
    <font>
      <sz val="9.6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Univers"/>
      <family val="0"/>
    </font>
    <font>
      <sz val="9"/>
      <color indexed="25"/>
      <name val="Univers"/>
      <family val="0"/>
    </font>
    <font>
      <sz val="8"/>
      <color indexed="25"/>
      <name val="Univers"/>
      <family val="0"/>
    </font>
    <font>
      <b/>
      <sz val="16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Univers"/>
      <family val="0"/>
    </font>
    <font>
      <sz val="11"/>
      <color rgb="FF993366"/>
      <name val="Arial"/>
      <family val="2"/>
    </font>
    <font>
      <sz val="8"/>
      <color rgb="FF993366"/>
      <name val="Arial"/>
      <family val="2"/>
    </font>
    <font>
      <sz val="9"/>
      <color rgb="FF993366"/>
      <name val="Univers"/>
      <family val="0"/>
    </font>
    <font>
      <sz val="8"/>
      <color rgb="FF993366"/>
      <name val="Univers"/>
      <family val="0"/>
    </font>
    <font>
      <b/>
      <sz val="16"/>
      <color rgb="FF99336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Trellis">
        <fgColor indexed="26"/>
        <bgColor indexed="26"/>
      </patternFill>
    </fill>
    <fill>
      <patternFill patternType="solid">
        <fgColor indexed="42"/>
        <bgColor indexed="64"/>
      </patternFill>
    </fill>
    <fill>
      <patternFill patternType="lightTrellis">
        <fgColor indexed="26"/>
        <bgColor rgb="FF99FFCC"/>
      </patternFill>
    </fill>
    <fill>
      <patternFill patternType="solid">
        <fgColor rgb="FF99FFCC"/>
        <bgColor indexed="64"/>
      </patternFill>
    </fill>
    <fill>
      <patternFill patternType="lightTrellis">
        <fgColor indexed="26"/>
        <bgColor rgb="FFFFFFCC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3" fontId="31" fillId="0" borderId="0" applyProtection="0">
      <alignment/>
    </xf>
    <xf numFmtId="3" fontId="32" fillId="0" borderId="0" applyProtection="0">
      <alignment/>
    </xf>
    <xf numFmtId="3" fontId="33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16" fillId="0" borderId="0" applyProtection="0">
      <alignment/>
    </xf>
    <xf numFmtId="3" fontId="34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15" fillId="0" borderId="0" applyProtection="0">
      <alignment/>
    </xf>
    <xf numFmtId="3" fontId="35" fillId="0" borderId="0" applyProtection="0">
      <alignment/>
    </xf>
    <xf numFmtId="0" fontId="6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2" applyFont="1" applyAlignment="1">
      <alignment/>
    </xf>
    <xf numFmtId="4" fontId="11" fillId="0" borderId="0" xfId="0" applyNumberFormat="1" applyFont="1" applyAlignment="1">
      <alignment/>
    </xf>
    <xf numFmtId="0" fontId="8" fillId="33" borderId="12" xfId="0" applyFont="1" applyFill="1" applyBorder="1" applyAlignment="1">
      <alignment/>
    </xf>
    <xf numFmtId="17" fontId="13" fillId="33" borderId="13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191" fontId="13" fillId="33" borderId="14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2" fontId="24" fillId="0" borderId="0" xfId="0" applyNumberFormat="1" applyFont="1" applyAlignment="1">
      <alignment horizontal="center"/>
    </xf>
    <xf numFmtId="191" fontId="9" fillId="35" borderId="15" xfId="0" applyNumberFormat="1" applyFont="1" applyFill="1" applyBorder="1" applyAlignment="1">
      <alignment/>
    </xf>
    <xf numFmtId="0" fontId="15" fillId="0" borderId="0" xfId="0" applyFont="1" applyAlignment="1">
      <alignment/>
    </xf>
    <xf numFmtId="2" fontId="9" fillId="35" borderId="16" xfId="0" applyNumberFormat="1" applyFont="1" applyFill="1" applyBorder="1" applyAlignment="1">
      <alignment/>
    </xf>
    <xf numFmtId="2" fontId="9" fillId="35" borderId="15" xfId="0" applyNumberFormat="1" applyFont="1" applyFill="1" applyBorder="1" applyAlignment="1">
      <alignment/>
    </xf>
    <xf numFmtId="191" fontId="15" fillId="0" borderId="0" xfId="0" applyNumberFormat="1" applyFont="1" applyBorder="1" applyAlignment="1">
      <alignment/>
    </xf>
    <xf numFmtId="191" fontId="15" fillId="35" borderId="17" xfId="0" applyNumberFormat="1" applyFont="1" applyFill="1" applyBorder="1" applyAlignment="1">
      <alignment/>
    </xf>
    <xf numFmtId="17" fontId="4" fillId="36" borderId="17" xfId="0" applyNumberFormat="1" applyFont="1" applyFill="1" applyBorder="1" applyAlignment="1">
      <alignment/>
    </xf>
    <xf numFmtId="0" fontId="4" fillId="36" borderId="17" xfId="0" applyFont="1" applyFill="1" applyBorder="1" applyAlignment="1">
      <alignment/>
    </xf>
    <xf numFmtId="191" fontId="26" fillId="35" borderId="0" xfId="0" applyNumberFormat="1" applyFont="1" applyFill="1" applyBorder="1" applyAlignment="1">
      <alignment/>
    </xf>
    <xf numFmtId="0" fontId="26" fillId="35" borderId="18" xfId="0" applyFont="1" applyFill="1" applyBorder="1" applyAlignment="1">
      <alignment/>
    </xf>
    <xf numFmtId="191" fontId="26" fillId="35" borderId="18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91" fontId="28" fillId="0" borderId="0" xfId="0" applyNumberFormat="1" applyFont="1" applyFill="1" applyBorder="1" applyAlignment="1">
      <alignment/>
    </xf>
    <xf numFmtId="184" fontId="28" fillId="0" borderId="0" xfId="0" applyNumberFormat="1" applyFont="1" applyFill="1" applyBorder="1" applyAlignment="1">
      <alignment/>
    </xf>
    <xf numFmtId="201" fontId="10" fillId="35" borderId="19" xfId="0" applyNumberFormat="1" applyFont="1" applyFill="1" applyBorder="1" applyAlignment="1">
      <alignment horizontal="center"/>
    </xf>
    <xf numFmtId="2" fontId="9" fillId="35" borderId="15" xfId="42" applyNumberFormat="1" applyFont="1" applyFill="1" applyBorder="1" applyAlignment="1">
      <alignment horizontal="right"/>
    </xf>
    <xf numFmtId="184" fontId="9" fillId="35" borderId="15" xfId="0" applyNumberFormat="1" applyFont="1" applyFill="1" applyBorder="1" applyAlignment="1">
      <alignment/>
    </xf>
    <xf numFmtId="208" fontId="0" fillId="0" borderId="0" xfId="0" applyNumberFormat="1" applyAlignment="1">
      <alignment/>
    </xf>
    <xf numFmtId="2" fontId="9" fillId="35" borderId="15" xfId="0" applyNumberFormat="1" applyFont="1" applyFill="1" applyBorder="1" applyAlignment="1">
      <alignment horizontal="right"/>
    </xf>
    <xf numFmtId="191" fontId="0" fillId="0" borderId="0" xfId="0" applyNumberFormat="1" applyAlignment="1">
      <alignment/>
    </xf>
    <xf numFmtId="184" fontId="9" fillId="35" borderId="20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184" fontId="0" fillId="0" borderId="0" xfId="0" applyNumberFormat="1" applyAlignment="1">
      <alignment/>
    </xf>
    <xf numFmtId="191" fontId="26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9" fillId="0" borderId="0" xfId="0" applyFont="1" applyAlignment="1">
      <alignment horizontal="left"/>
    </xf>
    <xf numFmtId="191" fontId="26" fillId="35" borderId="0" xfId="121" applyNumberFormat="1" applyFont="1" applyFill="1" applyBorder="1">
      <alignment/>
      <protection/>
    </xf>
    <xf numFmtId="0" fontId="36" fillId="0" borderId="15" xfId="0" applyFont="1" applyBorder="1" applyAlignment="1">
      <alignment horizontal="center"/>
    </xf>
    <xf numFmtId="0" fontId="38" fillId="34" borderId="15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21" xfId="0" applyFont="1" applyBorder="1" applyAlignment="1">
      <alignment/>
    </xf>
    <xf numFmtId="0" fontId="36" fillId="34" borderId="21" xfId="0" applyFont="1" applyFill="1" applyBorder="1" applyAlignment="1">
      <alignment/>
    </xf>
    <xf numFmtId="2" fontId="36" fillId="0" borderId="15" xfId="0" applyNumberFormat="1" applyFont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 horizontal="center"/>
    </xf>
    <xf numFmtId="0" fontId="36" fillId="35" borderId="15" xfId="0" applyFont="1" applyFill="1" applyBorder="1" applyAlignment="1">
      <alignment horizontal="center"/>
    </xf>
    <xf numFmtId="0" fontId="38" fillId="35" borderId="15" xfId="0" applyFont="1" applyFill="1" applyBorder="1" applyAlignment="1">
      <alignment/>
    </xf>
    <xf numFmtId="0" fontId="38" fillId="35" borderId="21" xfId="0" applyFont="1" applyFill="1" applyBorder="1" applyAlignment="1">
      <alignment/>
    </xf>
    <xf numFmtId="0" fontId="36" fillId="35" borderId="21" xfId="0" applyFont="1" applyFill="1" applyBorder="1" applyAlignment="1">
      <alignment/>
    </xf>
    <xf numFmtId="0" fontId="36" fillId="35" borderId="15" xfId="0" applyFont="1" applyFill="1" applyBorder="1" applyAlignment="1">
      <alignment/>
    </xf>
    <xf numFmtId="17" fontId="39" fillId="35" borderId="15" xfId="0" applyNumberFormat="1" applyFont="1" applyFill="1" applyBorder="1" applyAlignment="1">
      <alignment horizontal="center"/>
    </xf>
    <xf numFmtId="191" fontId="38" fillId="35" borderId="15" xfId="0" applyNumberFormat="1" applyFont="1" applyFill="1" applyBorder="1" applyAlignment="1">
      <alignment horizontal="center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right"/>
    </xf>
    <xf numFmtId="184" fontId="38" fillId="35" borderId="21" xfId="0" applyNumberFormat="1" applyFont="1" applyFill="1" applyBorder="1" applyAlignment="1">
      <alignment/>
    </xf>
    <xf numFmtId="184" fontId="38" fillId="35" borderId="21" xfId="0" applyNumberFormat="1" applyFont="1" applyFill="1" applyBorder="1" applyAlignment="1">
      <alignment horizontal="right"/>
    </xf>
    <xf numFmtId="184" fontId="38" fillId="35" borderId="15" xfId="0" applyNumberFormat="1" applyFont="1" applyFill="1" applyBorder="1" applyAlignment="1">
      <alignment/>
    </xf>
    <xf numFmtId="184" fontId="38" fillId="35" borderId="15" xfId="0" applyNumberFormat="1" applyFont="1" applyFill="1" applyBorder="1" applyAlignment="1">
      <alignment horizontal="center"/>
    </xf>
    <xf numFmtId="184" fontId="38" fillId="35" borderId="21" xfId="0" applyNumberFormat="1" applyFont="1" applyFill="1" applyBorder="1" applyAlignment="1">
      <alignment horizontal="center"/>
    </xf>
    <xf numFmtId="0" fontId="38" fillId="35" borderId="15" xfId="0" applyFont="1" applyFill="1" applyBorder="1" applyAlignment="1">
      <alignment horizontal="right"/>
    </xf>
    <xf numFmtId="188" fontId="38" fillId="35" borderId="15" xfId="0" applyNumberFormat="1" applyFont="1" applyFill="1" applyBorder="1" applyAlignment="1">
      <alignment/>
    </xf>
    <xf numFmtId="188" fontId="38" fillId="35" borderId="15" xfId="0" applyNumberFormat="1" applyFont="1" applyFill="1" applyBorder="1" applyAlignment="1">
      <alignment horizontal="center"/>
    </xf>
    <xf numFmtId="188" fontId="38" fillId="35" borderId="15" xfId="0" applyNumberFormat="1" applyFont="1" applyFill="1" applyBorder="1" applyAlignment="1">
      <alignment horizontal="right"/>
    </xf>
    <xf numFmtId="188" fontId="38" fillId="35" borderId="21" xfId="0" applyNumberFormat="1" applyFont="1" applyFill="1" applyBorder="1" applyAlignment="1">
      <alignment horizontal="right"/>
    </xf>
    <xf numFmtId="0" fontId="38" fillId="34" borderId="15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 horizontal="center"/>
    </xf>
    <xf numFmtId="0" fontId="36" fillId="34" borderId="15" xfId="0" applyFont="1" applyFill="1" applyBorder="1" applyAlignment="1">
      <alignment/>
    </xf>
    <xf numFmtId="0" fontId="40" fillId="34" borderId="20" xfId="0" applyFont="1" applyFill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8" fillId="34" borderId="20" xfId="0" applyFont="1" applyFill="1" applyBorder="1" applyAlignment="1">
      <alignment/>
    </xf>
    <xf numFmtId="0" fontId="36" fillId="0" borderId="20" xfId="0" applyFont="1" applyBorder="1" applyAlignment="1">
      <alignment/>
    </xf>
    <xf numFmtId="0" fontId="36" fillId="0" borderId="22" xfId="0" applyFont="1" applyBorder="1" applyAlignment="1">
      <alignment/>
    </xf>
    <xf numFmtId="0" fontId="36" fillId="34" borderId="22" xfId="0" applyFont="1" applyFill="1" applyBorder="1" applyAlignment="1">
      <alignment/>
    </xf>
    <xf numFmtId="2" fontId="36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26" fillId="35" borderId="23" xfId="121" applyFont="1" applyFill="1" applyBorder="1">
      <alignment/>
      <protection/>
    </xf>
    <xf numFmtId="0" fontId="13" fillId="33" borderId="13" xfId="0" applyFont="1" applyFill="1" applyBorder="1" applyAlignment="1">
      <alignment horizontal="right"/>
    </xf>
    <xf numFmtId="191" fontId="4" fillId="0" borderId="24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Border="1" applyAlignment="1">
      <alignment/>
    </xf>
    <xf numFmtId="184" fontId="9" fillId="35" borderId="15" xfId="0" applyNumberFormat="1" applyFont="1" applyFill="1" applyBorder="1" applyAlignment="1">
      <alignment horizontal="right"/>
    </xf>
    <xf numFmtId="191" fontId="9" fillId="35" borderId="20" xfId="0" applyNumberFormat="1" applyFont="1" applyFill="1" applyBorder="1" applyAlignment="1">
      <alignment/>
    </xf>
    <xf numFmtId="191" fontId="9" fillId="35" borderId="16" xfId="0" applyNumberFormat="1" applyFont="1" applyFill="1" applyBorder="1" applyAlignment="1">
      <alignment/>
    </xf>
    <xf numFmtId="17" fontId="13" fillId="33" borderId="23" xfId="0" applyNumberFormat="1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191" fontId="26" fillId="35" borderId="21" xfId="0" applyNumberFormat="1" applyFont="1" applyFill="1" applyBorder="1" applyAlignment="1">
      <alignment/>
    </xf>
    <xf numFmtId="0" fontId="27" fillId="35" borderId="11" xfId="0" applyFont="1" applyFill="1" applyBorder="1" applyAlignment="1">
      <alignment horizontal="left" indent="1"/>
    </xf>
    <xf numFmtId="0" fontId="4" fillId="35" borderId="11" xfId="0" applyFont="1" applyFill="1" applyBorder="1" applyAlignment="1">
      <alignment horizontal="left" indent="1"/>
    </xf>
    <xf numFmtId="0" fontId="26" fillId="35" borderId="12" xfId="0" applyFont="1" applyFill="1" applyBorder="1" applyAlignment="1">
      <alignment/>
    </xf>
    <xf numFmtId="191" fontId="26" fillId="35" borderId="22" xfId="0" applyNumberFormat="1" applyFont="1" applyFill="1" applyBorder="1" applyAlignment="1">
      <alignment/>
    </xf>
    <xf numFmtId="0" fontId="15" fillId="35" borderId="28" xfId="0" applyFont="1" applyFill="1" applyBorder="1" applyAlignment="1">
      <alignment/>
    </xf>
    <xf numFmtId="191" fontId="15" fillId="35" borderId="29" xfId="0" applyNumberFormat="1" applyFont="1" applyFill="1" applyBorder="1" applyAlignment="1">
      <alignment/>
    </xf>
    <xf numFmtId="0" fontId="27" fillId="35" borderId="12" xfId="0" applyFont="1" applyFill="1" applyBorder="1" applyAlignment="1">
      <alignment horizontal="left" indent="1"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26" fillId="35" borderId="11" xfId="0" applyFont="1" applyFill="1" applyBorder="1" applyAlignment="1">
      <alignment horizontal="left" indent="2"/>
    </xf>
    <xf numFmtId="0" fontId="27" fillId="37" borderId="11" xfId="0" applyFont="1" applyFill="1" applyBorder="1" applyAlignment="1">
      <alignment horizontal="left" indent="2"/>
    </xf>
    <xf numFmtId="0" fontId="4" fillId="35" borderId="11" xfId="0" applyFont="1" applyFill="1" applyBorder="1" applyAlignment="1">
      <alignment horizontal="left" indent="3"/>
    </xf>
    <xf numFmtId="0" fontId="4" fillId="35" borderId="11" xfId="0" applyFont="1" applyFill="1" applyBorder="1" applyAlignment="1">
      <alignment horizontal="left" indent="4"/>
    </xf>
    <xf numFmtId="0" fontId="4" fillId="37" borderId="12" xfId="0" applyFont="1" applyFill="1" applyBorder="1" applyAlignment="1">
      <alignment horizontal="left" indent="3"/>
    </xf>
    <xf numFmtId="17" fontId="4" fillId="36" borderId="17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5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17" fontId="39" fillId="33" borderId="15" xfId="0" applyNumberFormat="1" applyFont="1" applyFill="1" applyBorder="1" applyAlignment="1">
      <alignment horizontal="center"/>
    </xf>
    <xf numFmtId="17" fontId="39" fillId="33" borderId="21" xfId="0" applyNumberFormat="1" applyFont="1" applyFill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8" fillId="34" borderId="18" xfId="0" applyFont="1" applyFill="1" applyBorder="1" applyAlignment="1">
      <alignment/>
    </xf>
    <xf numFmtId="0" fontId="36" fillId="0" borderId="18" xfId="0" applyFont="1" applyBorder="1" applyAlignment="1">
      <alignment/>
    </xf>
    <xf numFmtId="0" fontId="36" fillId="34" borderId="18" xfId="0" applyFont="1" applyFill="1" applyBorder="1" applyAlignment="1">
      <alignment/>
    </xf>
    <xf numFmtId="2" fontId="36" fillId="0" borderId="18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8" fillId="34" borderId="0" xfId="0" applyFont="1" applyFill="1" applyBorder="1" applyAlignment="1">
      <alignment/>
    </xf>
    <xf numFmtId="0" fontId="36" fillId="0" borderId="0" xfId="0" applyFont="1" applyBorder="1" applyAlignment="1">
      <alignment/>
    </xf>
    <xf numFmtId="0" fontId="36" fillId="34" borderId="0" xfId="0" applyFont="1" applyFill="1" applyBorder="1" applyAlignment="1">
      <alignment/>
    </xf>
    <xf numFmtId="2" fontId="3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1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26" fillId="35" borderId="11" xfId="121" applyFont="1" applyFill="1" applyBorder="1">
      <alignment/>
      <protection/>
    </xf>
    <xf numFmtId="0" fontId="27" fillId="35" borderId="11" xfId="121" applyFont="1" applyFill="1" applyBorder="1" applyAlignment="1">
      <alignment horizontal="left" indent="1"/>
      <protection/>
    </xf>
    <xf numFmtId="0" fontId="26" fillId="35" borderId="11" xfId="121" applyFont="1" applyFill="1" applyBorder="1" applyAlignment="1">
      <alignment horizontal="left"/>
      <protection/>
    </xf>
    <xf numFmtId="191" fontId="27" fillId="35" borderId="11" xfId="121" applyNumberFormat="1" applyFont="1" applyFill="1" applyBorder="1" applyAlignment="1">
      <alignment horizontal="left" indent="1"/>
      <protection/>
    </xf>
    <xf numFmtId="191" fontId="4" fillId="35" borderId="11" xfId="121" applyNumberFormat="1" applyFont="1" applyFill="1" applyBorder="1">
      <alignment/>
      <protection/>
    </xf>
    <xf numFmtId="191" fontId="26" fillId="35" borderId="12" xfId="121" applyNumberFormat="1" applyFont="1" applyFill="1" applyBorder="1">
      <alignment/>
      <protection/>
    </xf>
    <xf numFmtId="191" fontId="26" fillId="35" borderId="11" xfId="0" applyNumberFormat="1" applyFont="1" applyFill="1" applyBorder="1" applyAlignment="1">
      <alignment/>
    </xf>
    <xf numFmtId="191" fontId="27" fillId="35" borderId="11" xfId="0" applyNumberFormat="1" applyFont="1" applyFill="1" applyBorder="1" applyAlignment="1">
      <alignment horizontal="left" indent="1"/>
    </xf>
    <xf numFmtId="191" fontId="27" fillId="35" borderId="11" xfId="0" applyNumberFormat="1" applyFont="1" applyFill="1" applyBorder="1" applyAlignment="1">
      <alignment horizontal="left"/>
    </xf>
    <xf numFmtId="191" fontId="26" fillId="35" borderId="11" xfId="0" applyNumberFormat="1" applyFont="1" applyFill="1" applyBorder="1" applyAlignment="1">
      <alignment horizontal="left" indent="2"/>
    </xf>
    <xf numFmtId="191" fontId="26" fillId="35" borderId="11" xfId="0" applyNumberFormat="1" applyFont="1" applyFill="1" applyBorder="1" applyAlignment="1">
      <alignment horizontal="left"/>
    </xf>
    <xf numFmtId="191" fontId="4" fillId="35" borderId="11" xfId="0" applyNumberFormat="1" applyFont="1" applyFill="1" applyBorder="1" applyAlignment="1">
      <alignment horizontal="left" indent="2"/>
    </xf>
    <xf numFmtId="191" fontId="4" fillId="35" borderId="11" xfId="0" applyNumberFormat="1" applyFont="1" applyFill="1" applyBorder="1" applyAlignment="1">
      <alignment/>
    </xf>
    <xf numFmtId="191" fontId="27" fillId="35" borderId="12" xfId="0" applyNumberFormat="1" applyFont="1" applyFill="1" applyBorder="1" applyAlignment="1">
      <alignment horizontal="left" indent="1"/>
    </xf>
    <xf numFmtId="191" fontId="26" fillId="35" borderId="18" xfId="121" applyNumberFormat="1" applyFont="1" applyFill="1" applyBorder="1">
      <alignment/>
      <protection/>
    </xf>
    <xf numFmtId="0" fontId="0" fillId="34" borderId="0" xfId="0" applyFill="1" applyBorder="1" applyAlignment="1">
      <alignment/>
    </xf>
    <xf numFmtId="0" fontId="4" fillId="35" borderId="12" xfId="0" applyFont="1" applyFill="1" applyBorder="1" applyAlignment="1">
      <alignment/>
    </xf>
    <xf numFmtId="0" fontId="15" fillId="0" borderId="31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3" xfId="0" applyFont="1" applyFill="1" applyBorder="1" applyAlignment="1">
      <alignment horizontal="center"/>
    </xf>
    <xf numFmtId="0" fontId="50" fillId="0" borderId="0" xfId="0" applyFont="1" applyAlignment="1">
      <alignment/>
    </xf>
    <xf numFmtId="46" fontId="13" fillId="33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51" fillId="0" borderId="0" xfId="0" applyFont="1" applyAlignment="1">
      <alignment/>
    </xf>
    <xf numFmtId="43" fontId="9" fillId="35" borderId="15" xfId="42" applyFont="1" applyFill="1" applyBorder="1" applyAlignment="1">
      <alignment horizontal="right"/>
    </xf>
    <xf numFmtId="43" fontId="9" fillId="35" borderId="15" xfId="42" applyFont="1" applyFill="1" applyBorder="1" applyAlignment="1">
      <alignment/>
    </xf>
    <xf numFmtId="17" fontId="39" fillId="33" borderId="19" xfId="0" applyNumberFormat="1" applyFont="1" applyFill="1" applyBorder="1" applyAlignment="1">
      <alignment horizontal="center"/>
    </xf>
    <xf numFmtId="191" fontId="26" fillId="35" borderId="0" xfId="114" applyNumberFormat="1" applyFont="1" applyFill="1" applyBorder="1">
      <alignment/>
      <protection/>
    </xf>
    <xf numFmtId="191" fontId="4" fillId="35" borderId="0" xfId="114" applyNumberFormat="1" applyFont="1" applyFill="1" applyBorder="1">
      <alignment/>
      <protection/>
    </xf>
    <xf numFmtId="0" fontId="4" fillId="35" borderId="0" xfId="114" applyFont="1" applyFill="1" applyBorder="1">
      <alignment/>
      <protection/>
    </xf>
    <xf numFmtId="191" fontId="26" fillId="35" borderId="18" xfId="114" applyNumberFormat="1" applyFont="1" applyFill="1" applyBorder="1">
      <alignment/>
      <protection/>
    </xf>
    <xf numFmtId="191" fontId="4" fillId="35" borderId="0" xfId="114" applyNumberFormat="1" applyFont="1" applyFill="1" applyBorder="1" applyAlignment="1">
      <alignment horizontal="right"/>
      <protection/>
    </xf>
    <xf numFmtId="191" fontId="4" fillId="35" borderId="17" xfId="114" applyNumberFormat="1" applyFont="1" applyFill="1" applyBorder="1">
      <alignment/>
      <protection/>
    </xf>
    <xf numFmtId="0" fontId="4" fillId="35" borderId="17" xfId="114" applyFont="1" applyFill="1" applyBorder="1">
      <alignment/>
      <protection/>
    </xf>
    <xf numFmtId="191" fontId="26" fillId="35" borderId="18" xfId="114" applyNumberFormat="1" applyFont="1" applyFill="1" applyBorder="1" applyAlignment="1">
      <alignment horizontal="right"/>
      <protection/>
    </xf>
    <xf numFmtId="191" fontId="26" fillId="35" borderId="0" xfId="114" applyNumberFormat="1" applyFont="1" applyFill="1" applyBorder="1" applyAlignment="1">
      <alignment horizontal="right"/>
      <protection/>
    </xf>
    <xf numFmtId="191" fontId="26" fillId="35" borderId="0" xfId="119" applyNumberFormat="1" applyFont="1" applyFill="1" applyBorder="1">
      <alignment/>
      <protection/>
    </xf>
    <xf numFmtId="184" fontId="26" fillId="35" borderId="0" xfId="119" applyNumberFormat="1" applyFont="1" applyFill="1" applyBorder="1">
      <alignment/>
      <protection/>
    </xf>
    <xf numFmtId="191" fontId="4" fillId="35" borderId="0" xfId="119" applyNumberFormat="1" applyFont="1" applyFill="1" applyBorder="1">
      <alignment/>
      <protection/>
    </xf>
    <xf numFmtId="184" fontId="4" fillId="35" borderId="0" xfId="119" applyNumberFormat="1" applyFont="1" applyFill="1" applyBorder="1">
      <alignment/>
      <protection/>
    </xf>
    <xf numFmtId="191" fontId="26" fillId="35" borderId="23" xfId="119" applyNumberFormat="1" applyFont="1" applyFill="1" applyBorder="1">
      <alignment/>
      <protection/>
    </xf>
    <xf numFmtId="191" fontId="26" fillId="35" borderId="34" xfId="119" applyNumberFormat="1" applyFont="1" applyFill="1" applyBorder="1">
      <alignment/>
      <protection/>
    </xf>
    <xf numFmtId="191" fontId="4" fillId="35" borderId="0" xfId="120" applyNumberFormat="1" applyFont="1" applyFill="1" applyBorder="1">
      <alignment/>
      <protection/>
    </xf>
    <xf numFmtId="191" fontId="26" fillId="35" borderId="18" xfId="120" applyNumberFormat="1" applyFont="1" applyFill="1" applyBorder="1">
      <alignment/>
      <protection/>
    </xf>
    <xf numFmtId="191" fontId="26" fillId="35" borderId="0" xfId="108" applyNumberFormat="1" applyFont="1" applyFill="1" applyBorder="1">
      <alignment/>
      <protection/>
    </xf>
    <xf numFmtId="191" fontId="4" fillId="35" borderId="0" xfId="108" applyNumberFormat="1" applyFont="1" applyFill="1" applyBorder="1">
      <alignment/>
      <protection/>
    </xf>
    <xf numFmtId="191" fontId="26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>
      <alignment/>
      <protection/>
    </xf>
    <xf numFmtId="191" fontId="4" fillId="36" borderId="0" xfId="109" applyNumberFormat="1" applyFont="1" applyFill="1" applyBorder="1" applyAlignment="1">
      <alignment horizontal="right"/>
      <protection/>
    </xf>
    <xf numFmtId="208" fontId="4" fillId="35" borderId="0" xfId="50" applyNumberFormat="1" applyFont="1" applyFill="1" applyBorder="1" applyAlignment="1">
      <alignment horizontal="right"/>
    </xf>
    <xf numFmtId="208" fontId="4" fillId="36" borderId="0" xfId="50" applyNumberFormat="1" applyFont="1" applyFill="1" applyBorder="1" applyAlignment="1">
      <alignment horizontal="right"/>
    </xf>
    <xf numFmtId="191" fontId="26" fillId="35" borderId="0" xfId="110" applyNumberFormat="1" applyFont="1" applyFill="1" applyBorder="1">
      <alignment/>
      <protection/>
    </xf>
    <xf numFmtId="184" fontId="26" fillId="35" borderId="0" xfId="110" applyNumberFormat="1" applyFont="1" applyFill="1" applyBorder="1">
      <alignment/>
      <protection/>
    </xf>
    <xf numFmtId="191" fontId="4" fillId="35" borderId="0" xfId="110" applyNumberFormat="1" applyFont="1" applyFill="1" applyBorder="1">
      <alignment/>
      <protection/>
    </xf>
    <xf numFmtId="184" fontId="4" fillId="35" borderId="0" xfId="110" applyNumberFormat="1" applyFont="1" applyFill="1" applyBorder="1">
      <alignment/>
      <protection/>
    </xf>
    <xf numFmtId="191" fontId="26" fillId="35" borderId="0" xfId="111" applyNumberFormat="1" applyFont="1" applyFill="1" applyBorder="1">
      <alignment/>
      <protection/>
    </xf>
    <xf numFmtId="184" fontId="26" fillId="35" borderId="0" xfId="111" applyNumberFormat="1" applyFont="1" applyFill="1" applyBorder="1">
      <alignment/>
      <protection/>
    </xf>
    <xf numFmtId="191" fontId="4" fillId="35" borderId="0" xfId="111" applyNumberFormat="1" applyFont="1" applyFill="1" applyBorder="1">
      <alignment/>
      <protection/>
    </xf>
    <xf numFmtId="184" fontId="4" fillId="35" borderId="0" xfId="111" applyNumberFormat="1" applyFont="1" applyFill="1" applyBorder="1">
      <alignment/>
      <protection/>
    </xf>
    <xf numFmtId="191" fontId="26" fillId="35" borderId="18" xfId="111" applyNumberFormat="1" applyFont="1" applyFill="1" applyBorder="1">
      <alignment/>
      <protection/>
    </xf>
    <xf numFmtId="0" fontId="114" fillId="0" borderId="0" xfId="0" applyFont="1" applyAlignment="1">
      <alignment/>
    </xf>
    <xf numFmtId="208" fontId="4" fillId="38" borderId="0" xfId="50" applyNumberFormat="1" applyFont="1" applyFill="1" applyBorder="1" applyAlignment="1">
      <alignment horizontal="right"/>
    </xf>
    <xf numFmtId="191" fontId="4" fillId="38" borderId="0" xfId="109" applyNumberFormat="1" applyFont="1" applyFill="1" applyBorder="1">
      <alignment/>
      <protection/>
    </xf>
    <xf numFmtId="184" fontId="4" fillId="39" borderId="18" xfId="109" applyNumberFormat="1" applyFont="1" applyFill="1" applyBorder="1">
      <alignment/>
      <protection/>
    </xf>
    <xf numFmtId="191" fontId="4" fillId="38" borderId="18" xfId="109" applyNumberFormat="1" applyFont="1" applyFill="1" applyBorder="1">
      <alignment/>
      <protection/>
    </xf>
    <xf numFmtId="191" fontId="53" fillId="35" borderId="18" xfId="111" applyNumberFormat="1" applyFont="1" applyFill="1" applyBorder="1">
      <alignment/>
      <protection/>
    </xf>
    <xf numFmtId="191" fontId="54" fillId="35" borderId="18" xfId="111" applyNumberFormat="1" applyFont="1" applyFill="1" applyBorder="1">
      <alignment/>
      <protection/>
    </xf>
    <xf numFmtId="184" fontId="54" fillId="35" borderId="18" xfId="111" applyNumberFormat="1" applyFont="1" applyFill="1" applyBorder="1">
      <alignment/>
      <protection/>
    </xf>
    <xf numFmtId="17" fontId="13" fillId="33" borderId="35" xfId="0" applyNumberFormat="1" applyFont="1" applyFill="1" applyBorder="1" applyAlignment="1">
      <alignment/>
    </xf>
    <xf numFmtId="0" fontId="4" fillId="35" borderId="21" xfId="114" applyFont="1" applyFill="1" applyBorder="1">
      <alignment/>
      <protection/>
    </xf>
    <xf numFmtId="191" fontId="26" fillId="35" borderId="21" xfId="114" applyNumberFormat="1" applyFont="1" applyFill="1" applyBorder="1">
      <alignment/>
      <protection/>
    </xf>
    <xf numFmtId="191" fontId="4" fillId="35" borderId="21" xfId="114" applyNumberFormat="1" applyFont="1" applyFill="1" applyBorder="1">
      <alignment/>
      <protection/>
    </xf>
    <xf numFmtId="191" fontId="26" fillId="35" borderId="22" xfId="114" applyNumberFormat="1" applyFont="1" applyFill="1" applyBorder="1">
      <alignment/>
      <protection/>
    </xf>
    <xf numFmtId="191" fontId="26" fillId="35" borderId="21" xfId="108" applyNumberFormat="1" applyFont="1" applyFill="1" applyBorder="1">
      <alignment/>
      <protection/>
    </xf>
    <xf numFmtId="191" fontId="4" fillId="35" borderId="21" xfId="108" applyNumberFormat="1" applyFont="1" applyFill="1" applyBorder="1">
      <alignment/>
      <protection/>
    </xf>
    <xf numFmtId="191" fontId="4" fillId="35" borderId="18" xfId="108" applyNumberFormat="1" applyFont="1" applyFill="1" applyBorder="1">
      <alignment/>
      <protection/>
    </xf>
    <xf numFmtId="191" fontId="4" fillId="35" borderId="22" xfId="108" applyNumberFormat="1" applyFont="1" applyFill="1" applyBorder="1">
      <alignment/>
      <protection/>
    </xf>
    <xf numFmtId="191" fontId="26" fillId="36" borderId="21" xfId="109" applyNumberFormat="1" applyFont="1" applyFill="1" applyBorder="1">
      <alignment/>
      <protection/>
    </xf>
    <xf numFmtId="191" fontId="4" fillId="38" borderId="21" xfId="109" applyNumberFormat="1" applyFont="1" applyFill="1" applyBorder="1">
      <alignment/>
      <protection/>
    </xf>
    <xf numFmtId="191" fontId="4" fillId="36" borderId="21" xfId="109" applyNumberFormat="1" applyFont="1" applyFill="1" applyBorder="1">
      <alignment/>
      <protection/>
    </xf>
    <xf numFmtId="191" fontId="4" fillId="38" borderId="22" xfId="109" applyNumberFormat="1" applyFont="1" applyFill="1" applyBorder="1">
      <alignment/>
      <protection/>
    </xf>
    <xf numFmtId="184" fontId="26" fillId="35" borderId="21" xfId="119" applyNumberFormat="1" applyFont="1" applyFill="1" applyBorder="1">
      <alignment/>
      <protection/>
    </xf>
    <xf numFmtId="184" fontId="4" fillId="35" borderId="21" xfId="119" applyNumberFormat="1" applyFont="1" applyFill="1" applyBorder="1">
      <alignment/>
      <protection/>
    </xf>
    <xf numFmtId="191" fontId="26" fillId="35" borderId="18" xfId="119" applyNumberFormat="1" applyFont="1" applyFill="1" applyBorder="1">
      <alignment/>
      <protection/>
    </xf>
    <xf numFmtId="184" fontId="26" fillId="35" borderId="18" xfId="119" applyNumberFormat="1" applyFont="1" applyFill="1" applyBorder="1">
      <alignment/>
      <protection/>
    </xf>
    <xf numFmtId="184" fontId="26" fillId="35" borderId="22" xfId="119" applyNumberFormat="1" applyFont="1" applyFill="1" applyBorder="1">
      <alignment/>
      <protection/>
    </xf>
    <xf numFmtId="184" fontId="26" fillId="35" borderId="21" xfId="110" applyNumberFormat="1" applyFont="1" applyFill="1" applyBorder="1">
      <alignment/>
      <protection/>
    </xf>
    <xf numFmtId="184" fontId="4" fillId="35" borderId="21" xfId="110" applyNumberFormat="1" applyFont="1" applyFill="1" applyBorder="1">
      <alignment/>
      <protection/>
    </xf>
    <xf numFmtId="191" fontId="4" fillId="35" borderId="21" xfId="120" applyNumberFormat="1" applyFont="1" applyFill="1" applyBorder="1">
      <alignment/>
      <protection/>
    </xf>
    <xf numFmtId="191" fontId="26" fillId="35" borderId="22" xfId="120" applyNumberFormat="1" applyFont="1" applyFill="1" applyBorder="1">
      <alignment/>
      <protection/>
    </xf>
    <xf numFmtId="184" fontId="26" fillId="35" borderId="21" xfId="111" applyNumberFormat="1" applyFont="1" applyFill="1" applyBorder="1">
      <alignment/>
      <protection/>
    </xf>
    <xf numFmtId="184" fontId="4" fillId="35" borderId="21" xfId="111" applyNumberFormat="1" applyFont="1" applyFill="1" applyBorder="1">
      <alignment/>
      <protection/>
    </xf>
    <xf numFmtId="184" fontId="54" fillId="35" borderId="22" xfId="111" applyNumberFormat="1" applyFont="1" applyFill="1" applyBorder="1">
      <alignment/>
      <protection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2" borderId="11" xfId="0" applyFont="1" applyFill="1" applyBorder="1" applyAlignment="1">
      <alignment horizontal="left" indent="2"/>
    </xf>
    <xf numFmtId="191" fontId="4" fillId="40" borderId="0" xfId="109" applyNumberFormat="1" applyFont="1" applyFill="1" applyBorder="1">
      <alignment/>
      <protection/>
    </xf>
    <xf numFmtId="191" fontId="4" fillId="40" borderId="21" xfId="109" applyNumberFormat="1" applyFont="1" applyFill="1" applyBorder="1">
      <alignment/>
      <protection/>
    </xf>
    <xf numFmtId="184" fontId="115" fillId="35" borderId="15" xfId="0" applyNumberFormat="1" applyFont="1" applyFill="1" applyBorder="1" applyAlignment="1">
      <alignment/>
    </xf>
    <xf numFmtId="184" fontId="115" fillId="35" borderId="15" xfId="0" applyNumberFormat="1" applyFont="1" applyFill="1" applyBorder="1" applyAlignment="1">
      <alignment horizontal="right"/>
    </xf>
    <xf numFmtId="0" fontId="115" fillId="35" borderId="15" xfId="0" applyFont="1" applyFill="1" applyBorder="1" applyAlignment="1">
      <alignment/>
    </xf>
    <xf numFmtId="188" fontId="115" fillId="35" borderId="15" xfId="0" applyNumberFormat="1" applyFont="1" applyFill="1" applyBorder="1" applyAlignment="1">
      <alignment/>
    </xf>
    <xf numFmtId="188" fontId="115" fillId="35" borderId="15" xfId="0" applyNumberFormat="1" applyFont="1" applyFill="1" applyBorder="1" applyAlignment="1">
      <alignment horizontal="right"/>
    </xf>
    <xf numFmtId="0" fontId="116" fillId="0" borderId="0" xfId="0" applyFont="1" applyAlignment="1">
      <alignment/>
    </xf>
    <xf numFmtId="192" fontId="115" fillId="35" borderId="15" xfId="42" applyNumberFormat="1" applyFont="1" applyFill="1" applyBorder="1" applyAlignment="1">
      <alignment horizontal="right"/>
    </xf>
    <xf numFmtId="191" fontId="115" fillId="35" borderId="15" xfId="42" applyNumberFormat="1" applyFont="1" applyFill="1" applyBorder="1" applyAlignment="1">
      <alignment horizontal="right"/>
    </xf>
    <xf numFmtId="0" fontId="5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20" fillId="33" borderId="27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46" fontId="13" fillId="33" borderId="32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46" fontId="13" fillId="33" borderId="33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6" fontId="13" fillId="33" borderId="34" xfId="0" applyNumberFormat="1" applyFont="1" applyFill="1" applyBorder="1" applyAlignment="1">
      <alignment horizontal="center"/>
    </xf>
    <xf numFmtId="0" fontId="20" fillId="33" borderId="39" xfId="0" applyFont="1" applyFill="1" applyBorder="1" applyAlignment="1">
      <alignment horizontal="center"/>
    </xf>
    <xf numFmtId="0" fontId="20" fillId="33" borderId="24" xfId="0" applyFont="1" applyFill="1" applyBorder="1" applyAlignment="1">
      <alignment horizontal="center"/>
    </xf>
    <xf numFmtId="0" fontId="20" fillId="33" borderId="40" xfId="0" applyFont="1" applyFill="1" applyBorder="1" applyAlignment="1">
      <alignment horizontal="center"/>
    </xf>
    <xf numFmtId="0" fontId="20" fillId="33" borderId="30" xfId="0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7" fillId="34" borderId="0" xfId="0" applyNumberFormat="1" applyFont="1" applyFill="1" applyAlignment="1">
      <alignment horizontal="left"/>
    </xf>
    <xf numFmtId="0" fontId="58" fillId="0" borderId="0" xfId="0" applyFont="1" applyAlignment="1">
      <alignment horizontal="left"/>
    </xf>
    <xf numFmtId="0" fontId="48" fillId="34" borderId="0" xfId="0" applyNumberFormat="1" applyFont="1" applyFill="1" applyAlignment="1">
      <alignment horizontal="left"/>
    </xf>
    <xf numFmtId="0" fontId="4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6" fontId="13" fillId="33" borderId="4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22" xfId="0" applyFont="1" applyFill="1" applyBorder="1" applyAlignment="1">
      <alignment horizontal="center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3" xfId="54"/>
    <cellStyle name="Comma 4" xfId="55"/>
    <cellStyle name="Comma 5" xfId="56"/>
    <cellStyle name="Comma 6" xfId="57"/>
    <cellStyle name="Comma 7" xfId="58"/>
    <cellStyle name="Comma 8" xfId="59"/>
    <cellStyle name="Comma 9" xfId="60"/>
    <cellStyle name="Currency" xfId="61"/>
    <cellStyle name="Currency [0]" xfId="62"/>
    <cellStyle name="Explanatory Text" xfId="63"/>
    <cellStyle name="F2" xfId="64"/>
    <cellStyle name="F3" xfId="65"/>
    <cellStyle name="F4" xfId="66"/>
    <cellStyle name="F5" xfId="67"/>
    <cellStyle name="F5 10" xfId="68"/>
    <cellStyle name="F5 11" xfId="69"/>
    <cellStyle name="F5 12" xfId="70"/>
    <cellStyle name="F5 13" xfId="71"/>
    <cellStyle name="F5 14" xfId="72"/>
    <cellStyle name="F5 2" xfId="73"/>
    <cellStyle name="F5 3" xfId="74"/>
    <cellStyle name="F5 4" xfId="75"/>
    <cellStyle name="F5 5" xfId="76"/>
    <cellStyle name="F5 6" xfId="77"/>
    <cellStyle name="F5 7" xfId="78"/>
    <cellStyle name="F5 8" xfId="79"/>
    <cellStyle name="F5 9" xfId="80"/>
    <cellStyle name="F6" xfId="81"/>
    <cellStyle name="F7" xfId="82"/>
    <cellStyle name="F7 10" xfId="83"/>
    <cellStyle name="F7 11" xfId="84"/>
    <cellStyle name="F7 12" xfId="85"/>
    <cellStyle name="F7 13" xfId="86"/>
    <cellStyle name="F7 14" xfId="87"/>
    <cellStyle name="F7 2" xfId="88"/>
    <cellStyle name="F7 3" xfId="89"/>
    <cellStyle name="F7 4" xfId="90"/>
    <cellStyle name="F7 5" xfId="91"/>
    <cellStyle name="F7 6" xfId="92"/>
    <cellStyle name="F7 7" xfId="93"/>
    <cellStyle name="F7 8" xfId="94"/>
    <cellStyle name="F7 9" xfId="95"/>
    <cellStyle name="F8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Input" xfId="104"/>
    <cellStyle name="Linked Cell" xfId="105"/>
    <cellStyle name="Neutral" xfId="106"/>
    <cellStyle name="Normal 10" xfId="107"/>
    <cellStyle name="Normal 11" xfId="108"/>
    <cellStyle name="Normal 12" xfId="109"/>
    <cellStyle name="Normal 13" xfId="110"/>
    <cellStyle name="Normal 14" xfId="111"/>
    <cellStyle name="Normal 2" xfId="112"/>
    <cellStyle name="Normal 2 2" xfId="113"/>
    <cellStyle name="Normal 3" xfId="114"/>
    <cellStyle name="Normal 4" xfId="115"/>
    <cellStyle name="Normal 5" xfId="116"/>
    <cellStyle name="Normal 6" xfId="117"/>
    <cellStyle name="Normal 7" xfId="118"/>
    <cellStyle name="Normal 8" xfId="119"/>
    <cellStyle name="Normal 9" xfId="120"/>
    <cellStyle name="Normal_S7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802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Chart'!$BG$2:$BS$2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'[2]M1 M2 Chart'!$BG$8:$BS$8</c:f>
              <c:numCache>
                <c:ptCount val="13"/>
                <c:pt idx="0">
                  <c:v>-2.7589230989430136</c:v>
                </c:pt>
                <c:pt idx="1">
                  <c:v>4.832978084768574</c:v>
                </c:pt>
                <c:pt idx="2">
                  <c:v>-5.3112094228906646</c:v>
                </c:pt>
                <c:pt idx="3">
                  <c:v>4.434503079596363</c:v>
                </c:pt>
                <c:pt idx="4">
                  <c:v>6.974092845707876</c:v>
                </c:pt>
                <c:pt idx="5">
                  <c:v>-2.4745243551078944</c:v>
                </c:pt>
                <c:pt idx="6">
                  <c:v>2.799180720158031</c:v>
                </c:pt>
                <c:pt idx="7">
                  <c:v>-0.04210277374891742</c:v>
                </c:pt>
                <c:pt idx="8">
                  <c:v>0.8272827782340273</c:v>
                </c:pt>
                <c:pt idx="9">
                  <c:v>6.327522043796926</c:v>
                </c:pt>
                <c:pt idx="10">
                  <c:v>-5.37998189760437</c:v>
                </c:pt>
                <c:pt idx="11">
                  <c:v>2.8928078536101274</c:v>
                </c:pt>
                <c:pt idx="12">
                  <c:v>0.6439831021346714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'[2]M1 M2 Chart'!$BG$2:$BS$2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'[2]M1 M2 Chart'!$BG$9:$BS$9</c:f>
              <c:numCache>
                <c:ptCount val="13"/>
                <c:pt idx="0">
                  <c:v>-1.0470244905095525</c:v>
                </c:pt>
                <c:pt idx="1">
                  <c:v>6.127457681158374</c:v>
                </c:pt>
                <c:pt idx="2">
                  <c:v>-8.520998937035635</c:v>
                </c:pt>
                <c:pt idx="3">
                  <c:v>5.97477485036336</c:v>
                </c:pt>
                <c:pt idx="4">
                  <c:v>13.002097574932087</c:v>
                </c:pt>
                <c:pt idx="5">
                  <c:v>-1.3524626113997604</c:v>
                </c:pt>
                <c:pt idx="6">
                  <c:v>2.1102644246997935</c:v>
                </c:pt>
                <c:pt idx="7">
                  <c:v>-1.5600971040161113</c:v>
                </c:pt>
                <c:pt idx="8">
                  <c:v>4.878776647467522</c:v>
                </c:pt>
                <c:pt idx="9">
                  <c:v>8.088498086381813</c:v>
                </c:pt>
                <c:pt idx="10">
                  <c:v>-4.4759391526018995</c:v>
                </c:pt>
                <c:pt idx="11">
                  <c:v>1.2390717930486315</c:v>
                </c:pt>
                <c:pt idx="12">
                  <c:v>-7.4774713855295865</c:v>
                </c:pt>
              </c:numCache>
            </c:numRef>
          </c:val>
        </c:ser>
        <c:axId val="29370609"/>
        <c:axId val="63008890"/>
      </c:barChart>
      <c:dateAx>
        <c:axId val="293706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6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630088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3008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5"/>
              <c:y val="0.0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7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325"/>
          <c:y val="0.94925"/>
          <c:w val="0.5767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07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chart'!$BH$2:$BT$2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'[2] PSC chart'!$BF$11:$BR$11</c:f>
              <c:numCache>
                <c:ptCount val="13"/>
                <c:pt idx="0">
                  <c:v>0.5417165785074152</c:v>
                </c:pt>
                <c:pt idx="1">
                  <c:v>1.5991716628706223</c:v>
                </c:pt>
                <c:pt idx="2">
                  <c:v>-2.517276850806411</c:v>
                </c:pt>
                <c:pt idx="3">
                  <c:v>-3.723489432998802</c:v>
                </c:pt>
                <c:pt idx="4">
                  <c:v>4.100410590801487</c:v>
                </c:pt>
                <c:pt idx="5">
                  <c:v>2.039518532370704</c:v>
                </c:pt>
                <c:pt idx="6">
                  <c:v>-3.6986349181736697</c:v>
                </c:pt>
                <c:pt idx="7">
                  <c:v>0.7103561904573192</c:v>
                </c:pt>
                <c:pt idx="8">
                  <c:v>1.6125924625514372</c:v>
                </c:pt>
                <c:pt idx="9">
                  <c:v>-4.399490493217304</c:v>
                </c:pt>
                <c:pt idx="10">
                  <c:v>4.851910087405438</c:v>
                </c:pt>
                <c:pt idx="11">
                  <c:v>2.657976274018554</c:v>
                </c:pt>
                <c:pt idx="12">
                  <c:v>-4.830797456283062</c:v>
                </c:pt>
              </c:numCache>
            </c:numRef>
          </c:val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 PSC chart'!$BH$2:$BT$2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'[2] PSC chart'!$BF$12:$BR$12</c:f>
              <c:numCache>
                <c:ptCount val="13"/>
                <c:pt idx="0">
                  <c:v>2.322314477660483</c:v>
                </c:pt>
                <c:pt idx="1">
                  <c:v>1.135154088313461</c:v>
                </c:pt>
                <c:pt idx="2">
                  <c:v>0.13217197265944805</c:v>
                </c:pt>
                <c:pt idx="3">
                  <c:v>0.659734166932406</c:v>
                </c:pt>
                <c:pt idx="4">
                  <c:v>1.7631459638475206</c:v>
                </c:pt>
                <c:pt idx="5">
                  <c:v>1.2906821953446157</c:v>
                </c:pt>
                <c:pt idx="6">
                  <c:v>0.8082505918853169</c:v>
                </c:pt>
                <c:pt idx="7">
                  <c:v>-0.6092556717745857</c:v>
                </c:pt>
                <c:pt idx="8">
                  <c:v>1.188283065867892</c:v>
                </c:pt>
                <c:pt idx="9">
                  <c:v>0.6884786335654285</c:v>
                </c:pt>
                <c:pt idx="10">
                  <c:v>1.2104707999286515</c:v>
                </c:pt>
                <c:pt idx="11">
                  <c:v>0.7539465025562863</c:v>
                </c:pt>
                <c:pt idx="12">
                  <c:v>1.2872926060997363</c:v>
                </c:pt>
              </c:numCache>
            </c:numRef>
          </c:val>
        </c:ser>
        <c:axId val="30209099"/>
        <c:axId val="3446436"/>
      </c:barChart>
      <c:dateAx>
        <c:axId val="3020909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34464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46436"/>
        <c:scaling>
          <c:orientation val="minMax"/>
          <c:max val="7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9099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94725"/>
          <c:w val="0.523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74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'[2] PSC chart'!$B$11</c:f>
              <c:strCache>
                <c:ptCount val="1"/>
                <c:pt idx="0">
                  <c:v>Domestic claims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chart'!$M$9:$BR$10</c:f>
              <c:multiLvlStrCache>
                <c:ptCount val="5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chart'!$M$13:$BR$13</c:f>
              <c:numCache>
                <c:ptCount val="58"/>
                <c:pt idx="0">
                  <c:v>21.757986169567456</c:v>
                </c:pt>
                <c:pt idx="1">
                  <c:v>20.62510238876094</c:v>
                </c:pt>
                <c:pt idx="2">
                  <c:v>19.25014474488553</c:v>
                </c:pt>
                <c:pt idx="3">
                  <c:v>14.027123055301715</c:v>
                </c:pt>
                <c:pt idx="4">
                  <c:v>19.553297200640742</c:v>
                </c:pt>
                <c:pt idx="5">
                  <c:v>19.443726367253888</c:v>
                </c:pt>
                <c:pt idx="6">
                  <c:v>19.160413066801784</c:v>
                </c:pt>
                <c:pt idx="7">
                  <c:v>22.952337255321797</c:v>
                </c:pt>
                <c:pt idx="8">
                  <c:v>21.93219477802335</c:v>
                </c:pt>
                <c:pt idx="9">
                  <c:v>27.589419512624993</c:v>
                </c:pt>
                <c:pt idx="10">
                  <c:v>23.142062124149867</c:v>
                </c:pt>
                <c:pt idx="11">
                  <c:v>21.18963990348699</c:v>
                </c:pt>
                <c:pt idx="12">
                  <c:v>19.461769399119365</c:v>
                </c:pt>
                <c:pt idx="13">
                  <c:v>17.909698620631342</c:v>
                </c:pt>
                <c:pt idx="14">
                  <c:v>16.294317657529955</c:v>
                </c:pt>
                <c:pt idx="15">
                  <c:v>20.936849276582457</c:v>
                </c:pt>
                <c:pt idx="16">
                  <c:v>17.768567379635456</c:v>
                </c:pt>
                <c:pt idx="17">
                  <c:v>18.69481790251848</c:v>
                </c:pt>
                <c:pt idx="18">
                  <c:v>20.631773545428047</c:v>
                </c:pt>
                <c:pt idx="19">
                  <c:v>19.006522603819477</c:v>
                </c:pt>
                <c:pt idx="20">
                  <c:v>20.28633475834727</c:v>
                </c:pt>
                <c:pt idx="21">
                  <c:v>16.208010879825995</c:v>
                </c:pt>
                <c:pt idx="22">
                  <c:v>16.816686062233146</c:v>
                </c:pt>
                <c:pt idx="23">
                  <c:v>20.27694829606601</c:v>
                </c:pt>
                <c:pt idx="24">
                  <c:v>19.874775739573924</c:v>
                </c:pt>
                <c:pt idx="25">
                  <c:v>19.817026711056897</c:v>
                </c:pt>
                <c:pt idx="26">
                  <c:v>19.725414837752563</c:v>
                </c:pt>
                <c:pt idx="27">
                  <c:v>14.271499938078968</c:v>
                </c:pt>
                <c:pt idx="28">
                  <c:v>15.603419828982057</c:v>
                </c:pt>
                <c:pt idx="29">
                  <c:v>15.640346284363105</c:v>
                </c:pt>
                <c:pt idx="30">
                  <c:v>13.800087472204625</c:v>
                </c:pt>
                <c:pt idx="31">
                  <c:v>14.21303601592372</c:v>
                </c:pt>
                <c:pt idx="32">
                  <c:v>12.095475932032219</c:v>
                </c:pt>
                <c:pt idx="33">
                  <c:v>11.418485937226496</c:v>
                </c:pt>
                <c:pt idx="34">
                  <c:v>11.836894907434514</c:v>
                </c:pt>
                <c:pt idx="35">
                  <c:v>7.966196083411026</c:v>
                </c:pt>
                <c:pt idx="36">
                  <c:v>4.010736885898614</c:v>
                </c:pt>
                <c:pt idx="37">
                  <c:v>4.637972592747919</c:v>
                </c:pt>
                <c:pt idx="38">
                  <c:v>2.888790849040257</c:v>
                </c:pt>
                <c:pt idx="39">
                  <c:v>3.133528742828151</c:v>
                </c:pt>
                <c:pt idx="40">
                  <c:v>2.4665334093153524</c:v>
                </c:pt>
                <c:pt idx="41">
                  <c:v>0.4752296252192423</c:v>
                </c:pt>
                <c:pt idx="42">
                  <c:v>3.4455170277858604</c:v>
                </c:pt>
                <c:pt idx="43">
                  <c:v>4.892002211756874</c:v>
                </c:pt>
                <c:pt idx="44">
                  <c:v>8.158456531683811</c:v>
                </c:pt>
                <c:pt idx="45">
                  <c:v>10.435665788951031</c:v>
                </c:pt>
                <c:pt idx="46">
                  <c:v>8.935395232768006</c:v>
                </c:pt>
                <c:pt idx="47">
                  <c:v>5.96728355993994</c:v>
                </c:pt>
                <c:pt idx="48">
                  <c:v>8.549355669475833</c:v>
                </c:pt>
                <c:pt idx="49">
                  <c:v>9.211763790716487</c:v>
                </c:pt>
                <c:pt idx="50">
                  <c:v>12.685505172385113</c:v>
                </c:pt>
                <c:pt idx="51">
                  <c:v>11.30934667053014</c:v>
                </c:pt>
                <c:pt idx="52">
                  <c:v>8.100694746885996</c:v>
                </c:pt>
                <c:pt idx="53">
                  <c:v>9.120570936596884</c:v>
                </c:pt>
                <c:pt idx="54">
                  <c:v>3.099499701019215</c:v>
                </c:pt>
                <c:pt idx="55">
                  <c:v>3.949836172091259</c:v>
                </c:pt>
                <c:pt idx="56">
                  <c:v>3.2734437172182496</c:v>
                </c:pt>
                <c:pt idx="57">
                  <c:v>-2.2450419887489637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'[2] PSC chart'!$B$12</c:f>
              <c:strCache>
                <c:ptCount val="1"/>
                <c:pt idx="0">
                  <c:v>Other sectors claims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'[2] PSC chart'!$M$9:$BR$10</c:f>
              <c:multiLvlStrCache>
                <c:ptCount val="58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2004</c:v>
                  </c:pt>
                  <c:pt idx="12">
                    <c:v>2005</c:v>
                  </c:pt>
                  <c:pt idx="24">
                    <c:v>2006</c:v>
                  </c:pt>
                  <c:pt idx="36">
                    <c:v>2007</c:v>
                  </c:pt>
                  <c:pt idx="48">
                    <c:v>2008</c:v>
                  </c:pt>
                </c:lvl>
              </c:multiLvlStrCache>
            </c:multiLvlStrRef>
          </c:cat>
          <c:val>
            <c:numRef>
              <c:f>'[2] PSC chart'!$M$14:$BR$14</c:f>
              <c:numCache>
                <c:ptCount val="58"/>
                <c:pt idx="0">
                  <c:v>17.17351543747261</c:v>
                </c:pt>
                <c:pt idx="1">
                  <c:v>16.218905328490905</c:v>
                </c:pt>
                <c:pt idx="2">
                  <c:v>17.00577707944497</c:v>
                </c:pt>
                <c:pt idx="3">
                  <c:v>16.474328163559804</c:v>
                </c:pt>
                <c:pt idx="4">
                  <c:v>19.77120371626986</c:v>
                </c:pt>
                <c:pt idx="5">
                  <c:v>17.622561514420564</c:v>
                </c:pt>
                <c:pt idx="6">
                  <c:v>19.204325435149137</c:v>
                </c:pt>
                <c:pt idx="7">
                  <c:v>21.19610024029366</c:v>
                </c:pt>
                <c:pt idx="8">
                  <c:v>20.075967022811003</c:v>
                </c:pt>
                <c:pt idx="9">
                  <c:v>21.498278249022352</c:v>
                </c:pt>
                <c:pt idx="10">
                  <c:v>19.281257329642344</c:v>
                </c:pt>
                <c:pt idx="11">
                  <c:v>19.335701774939107</c:v>
                </c:pt>
                <c:pt idx="12">
                  <c:v>13.636036123964557</c:v>
                </c:pt>
                <c:pt idx="13">
                  <c:v>14.091721818706105</c:v>
                </c:pt>
                <c:pt idx="14">
                  <c:v>12.021385831499343</c:v>
                </c:pt>
                <c:pt idx="15">
                  <c:v>13.783462415652892</c:v>
                </c:pt>
                <c:pt idx="16">
                  <c:v>10.789486032302364</c:v>
                </c:pt>
                <c:pt idx="17">
                  <c:v>9.917221720306667</c:v>
                </c:pt>
                <c:pt idx="18">
                  <c:v>13.559290649294976</c:v>
                </c:pt>
                <c:pt idx="19">
                  <c:v>11.514648669438987</c:v>
                </c:pt>
                <c:pt idx="20">
                  <c:v>12.829092374290486</c:v>
                </c:pt>
                <c:pt idx="21">
                  <c:v>10.142278272890582</c:v>
                </c:pt>
                <c:pt idx="22">
                  <c:v>10.96436181069067</c:v>
                </c:pt>
                <c:pt idx="23">
                  <c:v>12.880855752628051</c:v>
                </c:pt>
                <c:pt idx="24">
                  <c:v>16.71721161945716</c:v>
                </c:pt>
                <c:pt idx="25">
                  <c:v>18.735725347689012</c:v>
                </c:pt>
                <c:pt idx="26">
                  <c:v>18.534756717396906</c:v>
                </c:pt>
                <c:pt idx="27">
                  <c:v>16.990890084819377</c:v>
                </c:pt>
                <c:pt idx="28">
                  <c:v>18.347301134829852</c:v>
                </c:pt>
                <c:pt idx="29">
                  <c:v>19.05258222424213</c:v>
                </c:pt>
                <c:pt idx="30">
                  <c:v>18.07928923420974</c:v>
                </c:pt>
                <c:pt idx="31">
                  <c:v>17.910809559405916</c:v>
                </c:pt>
                <c:pt idx="32">
                  <c:v>15.677649005448014</c:v>
                </c:pt>
                <c:pt idx="33">
                  <c:v>17.84592134908638</c:v>
                </c:pt>
                <c:pt idx="34">
                  <c:v>15.535544242103017</c:v>
                </c:pt>
                <c:pt idx="35">
                  <c:v>13.36691725868735</c:v>
                </c:pt>
                <c:pt idx="36">
                  <c:v>16.126949169539117</c:v>
                </c:pt>
                <c:pt idx="37">
                  <c:v>14.442133967543992</c:v>
                </c:pt>
                <c:pt idx="38">
                  <c:v>15.800739639166883</c:v>
                </c:pt>
                <c:pt idx="39">
                  <c:v>14.016054744465789</c:v>
                </c:pt>
                <c:pt idx="40">
                  <c:v>12.237700033953057</c:v>
                </c:pt>
                <c:pt idx="41">
                  <c:v>13.58376823554548</c:v>
                </c:pt>
                <c:pt idx="42">
                  <c:v>11.004111075035317</c:v>
                </c:pt>
                <c:pt idx="43">
                  <c:v>11.451903726917866</c:v>
                </c:pt>
                <c:pt idx="44">
                  <c:v>12.251837402835065</c:v>
                </c:pt>
                <c:pt idx="45">
                  <c:v>13.106953403873757</c:v>
                </c:pt>
                <c:pt idx="46">
                  <c:v>14.205098425194018</c:v>
                </c:pt>
                <c:pt idx="47">
                  <c:v>13.57521524566696</c:v>
                </c:pt>
                <c:pt idx="48">
                  <c:v>11.356768676110573</c:v>
                </c:pt>
                <c:pt idx="49">
                  <c:v>11.64327804807117</c:v>
                </c:pt>
                <c:pt idx="50">
                  <c:v>12.181822067431147</c:v>
                </c:pt>
                <c:pt idx="51">
                  <c:v>12.60260991208324</c:v>
                </c:pt>
                <c:pt idx="52">
                  <c:v>11.761168749775951</c:v>
                </c:pt>
                <c:pt idx="53">
                  <c:v>11.16335479915891</c:v>
                </c:pt>
                <c:pt idx="54">
                  <c:v>11.351779594730305</c:v>
                </c:pt>
                <c:pt idx="55">
                  <c:v>11.946437217986915</c:v>
                </c:pt>
                <c:pt idx="56">
                  <c:v>11.918394217995786</c:v>
                </c:pt>
                <c:pt idx="57">
                  <c:v>10.786305030638</c:v>
                </c:pt>
              </c:numCache>
            </c:numRef>
          </c:val>
          <c:smooth val="1"/>
        </c:ser>
        <c:marker val="1"/>
        <c:axId val="31017925"/>
        <c:axId val="10725870"/>
      </c:lineChart>
      <c:catAx>
        <c:axId val="310179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993366"/>
                </a:solidFill>
              </a:defRPr>
            </a:pPr>
          </a:p>
        </c:txPr>
        <c:crossAx val="10725870"/>
        <c:crosses val="autoZero"/>
        <c:auto val="1"/>
        <c:lblOffset val="100"/>
        <c:tickLblSkip val="1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1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39"/>
          <c:w val="0.61925"/>
          <c:h val="0.04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CC"/>
    </a:solidFill>
    <a:ln w="3175">
      <a:solidFill>
        <a:srgbClr val="808080"/>
      </a:solidFill>
    </a:ln>
  </c:spPr>
  <c:txPr>
    <a:bodyPr vert="horz" rot="0"/>
    <a:lstStyle/>
    <a:p>
      <a:pPr>
        <a:defRPr lang="en-US" cap="none" sz="850" b="0" i="0" u="none" baseline="0">
          <a:solidFill>
            <a:srgbClr val="99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575"/>
          <c:w val="0.96475"/>
          <c:h val="0.92625"/>
        </c:manualLayout>
      </c:layout>
      <c:lineChart>
        <c:grouping val="standard"/>
        <c:varyColors val="0"/>
        <c:ser>
          <c:idx val="0"/>
          <c:order val="0"/>
          <c:tx>
            <c:v>Bank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'[3]Data'!$C$210:$C$222</c:f>
              <c:numCache>
                <c:ptCount val="13"/>
                <c:pt idx="0">
                  <c:v>39357</c:v>
                </c:pt>
                <c:pt idx="1">
                  <c:v>39388</c:v>
                </c:pt>
                <c:pt idx="2">
                  <c:v>39418</c:v>
                </c:pt>
                <c:pt idx="3">
                  <c:v>39449</c:v>
                </c:pt>
                <c:pt idx="4">
                  <c:v>39480</c:v>
                </c:pt>
                <c:pt idx="5">
                  <c:v>39509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39631</c:v>
                </c:pt>
                <c:pt idx="10">
                  <c:v>39662</c:v>
                </c:pt>
                <c:pt idx="11">
                  <c:v>39693</c:v>
                </c:pt>
                <c:pt idx="12">
                  <c:v>39723</c:v>
                </c:pt>
              </c:numCache>
            </c:numRef>
          </c:cat>
          <c:val>
            <c:numRef>
              <c:f>'[3]Data'!$E$210:$E$222</c:f>
              <c:numCache>
                <c:ptCount val="13"/>
                <c:pt idx="0">
                  <c:v>10.5</c:v>
                </c:pt>
                <c:pt idx="1">
                  <c:v>10.5</c:v>
                </c:pt>
                <c:pt idx="2">
                  <c:v>10.5</c:v>
                </c:pt>
                <c:pt idx="3">
                  <c:v>10.5</c:v>
                </c:pt>
                <c:pt idx="4">
                  <c:v>10.5</c:v>
                </c:pt>
                <c:pt idx="5">
                  <c:v>10.5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10.5</c:v>
                </c:pt>
                <c:pt idx="10">
                  <c:v>10.5</c:v>
                </c:pt>
                <c:pt idx="11">
                  <c:v>10.5</c:v>
                </c:pt>
                <c:pt idx="12">
                  <c:v>10.5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'[3]Data'!$J$5:$J$6</c:f>
              <c:strCache>
                <c:ptCount val="1"/>
                <c:pt idx="0">
                  <c:v>Deposit  Rates 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'[3]Data'!$C$210:$C$222</c:f>
              <c:numCache>
                <c:ptCount val="13"/>
                <c:pt idx="0">
                  <c:v>39357</c:v>
                </c:pt>
                <c:pt idx="1">
                  <c:v>39388</c:v>
                </c:pt>
                <c:pt idx="2">
                  <c:v>39418</c:v>
                </c:pt>
                <c:pt idx="3">
                  <c:v>39449</c:v>
                </c:pt>
                <c:pt idx="4">
                  <c:v>39480</c:v>
                </c:pt>
                <c:pt idx="5">
                  <c:v>39509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39631</c:v>
                </c:pt>
                <c:pt idx="10">
                  <c:v>39662</c:v>
                </c:pt>
                <c:pt idx="11">
                  <c:v>39693</c:v>
                </c:pt>
                <c:pt idx="12">
                  <c:v>39723</c:v>
                </c:pt>
              </c:numCache>
            </c:numRef>
          </c:cat>
          <c:val>
            <c:numRef>
              <c:f>'[3]Data'!$J$210:$J$222</c:f>
              <c:numCache>
                <c:ptCount val="13"/>
                <c:pt idx="0">
                  <c:v>7.95</c:v>
                </c:pt>
                <c:pt idx="1">
                  <c:v>8.08</c:v>
                </c:pt>
                <c:pt idx="2">
                  <c:v>8.28</c:v>
                </c:pt>
                <c:pt idx="3">
                  <c:v>8.13</c:v>
                </c:pt>
                <c:pt idx="4">
                  <c:v>8.23</c:v>
                </c:pt>
                <c:pt idx="5">
                  <c:v>8.35</c:v>
                </c:pt>
                <c:pt idx="6">
                  <c:v>8.14</c:v>
                </c:pt>
                <c:pt idx="7">
                  <c:v>8.29</c:v>
                </c:pt>
                <c:pt idx="8">
                  <c:v>8.33</c:v>
                </c:pt>
                <c:pt idx="9">
                  <c:v>8.28</c:v>
                </c:pt>
                <c:pt idx="10">
                  <c:v>8.4</c:v>
                </c:pt>
                <c:pt idx="11">
                  <c:v>8.54</c:v>
                </c:pt>
                <c:pt idx="12">
                  <c:v>8.7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'[3]Data'!$K$5:$K$6</c:f>
              <c:strCache>
                <c:ptCount val="1"/>
                <c:pt idx="0">
                  <c:v>Lending  Rates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'[3]Data'!$C$210:$C$222</c:f>
              <c:numCache>
                <c:ptCount val="13"/>
                <c:pt idx="0">
                  <c:v>39357</c:v>
                </c:pt>
                <c:pt idx="1">
                  <c:v>39388</c:v>
                </c:pt>
                <c:pt idx="2">
                  <c:v>39418</c:v>
                </c:pt>
                <c:pt idx="3">
                  <c:v>39449</c:v>
                </c:pt>
                <c:pt idx="4">
                  <c:v>39480</c:v>
                </c:pt>
                <c:pt idx="5">
                  <c:v>39509</c:v>
                </c:pt>
                <c:pt idx="6">
                  <c:v>39540</c:v>
                </c:pt>
                <c:pt idx="7">
                  <c:v>39570</c:v>
                </c:pt>
                <c:pt idx="8">
                  <c:v>39601</c:v>
                </c:pt>
                <c:pt idx="9">
                  <c:v>39631</c:v>
                </c:pt>
                <c:pt idx="10">
                  <c:v>39662</c:v>
                </c:pt>
                <c:pt idx="11">
                  <c:v>39693</c:v>
                </c:pt>
                <c:pt idx="12">
                  <c:v>39723</c:v>
                </c:pt>
              </c:numCache>
            </c:numRef>
          </c:cat>
          <c:val>
            <c:numRef>
              <c:f>'[3]Data'!$K$210:$K$222</c:f>
              <c:numCache>
                <c:ptCount val="13"/>
                <c:pt idx="0">
                  <c:v>13.56</c:v>
                </c:pt>
                <c:pt idx="1">
                  <c:v>14.53</c:v>
                </c:pt>
                <c:pt idx="2">
                  <c:v>13.59</c:v>
                </c:pt>
                <c:pt idx="3">
                  <c:v>14.01</c:v>
                </c:pt>
                <c:pt idx="4">
                  <c:v>14.18</c:v>
                </c:pt>
                <c:pt idx="5">
                  <c:v>13.93</c:v>
                </c:pt>
                <c:pt idx="6">
                  <c:v>13.14</c:v>
                </c:pt>
                <c:pt idx="7">
                  <c:v>13.2</c:v>
                </c:pt>
                <c:pt idx="8">
                  <c:v>13.49</c:v>
                </c:pt>
                <c:pt idx="9">
                  <c:v>13.13</c:v>
                </c:pt>
                <c:pt idx="10">
                  <c:v>13.8</c:v>
                </c:pt>
                <c:pt idx="11">
                  <c:v>13.91</c:v>
                </c:pt>
                <c:pt idx="12">
                  <c:v>13.99</c:v>
                </c:pt>
              </c:numCache>
            </c:numRef>
          </c:val>
          <c:smooth val="1"/>
        </c:ser>
        <c:marker val="1"/>
        <c:axId val="29423967"/>
        <c:axId val="63489112"/>
      </c:lineChart>
      <c:catAx>
        <c:axId val="2942396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800000"/>
                </a:solidFill>
              </a:defRPr>
            </a:pPr>
          </a:p>
        </c:txPr>
        <c:crossAx val="63489112"/>
        <c:crossesAt val="0"/>
        <c:auto val="1"/>
        <c:lblOffset val="100"/>
        <c:tickLblSkip val="1"/>
        <c:noMultiLvlLbl val="0"/>
      </c:catAx>
      <c:valAx>
        <c:axId val="63489112"/>
        <c:scaling>
          <c:orientation val="minMax"/>
          <c:max val="15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75"/>
              <c:y val="0.0125"/>
            </c:manualLayout>
          </c:layout>
          <c:overlay val="0"/>
          <c:spPr>
            <a:solidFill>
              <a:srgbClr val="FFFFCC"/>
            </a:solidFill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800000"/>
                </a:solidFill>
              </a:defRPr>
            </a:pPr>
          </a:p>
        </c:txPr>
        <c:crossAx val="29423967"/>
        <c:crossesAt val="1"/>
        <c:crossBetween val="between"/>
        <c:dispUnits/>
        <c:majorUnit val="3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5"/>
          <c:y val="0.948"/>
          <c:w val="0.615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2325"/>
          <c:w val="0.953"/>
          <c:h val="0.92125"/>
        </c:manualLayout>
      </c:layout>
      <c:lineChart>
        <c:grouping val="standard"/>
        <c:varyColors val="0"/>
        <c:ser>
          <c:idx val="0"/>
          <c:order val="0"/>
          <c:tx>
            <c:v>Overall index</c:v>
          </c:tx>
          <c:spPr>
            <a:ln w="381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indices'!$B$144:$B$156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'[4]Monthly indices'!$C$144:$C$156</c:f>
              <c:numCache>
                <c:ptCount val="13"/>
                <c:pt idx="0">
                  <c:v>1016</c:v>
                </c:pt>
                <c:pt idx="1">
                  <c:v>996</c:v>
                </c:pt>
                <c:pt idx="2">
                  <c:v>929</c:v>
                </c:pt>
                <c:pt idx="3">
                  <c:v>837</c:v>
                </c:pt>
                <c:pt idx="4">
                  <c:v>988</c:v>
                </c:pt>
                <c:pt idx="5">
                  <c:v>939</c:v>
                </c:pt>
                <c:pt idx="6">
                  <c:v>963.6</c:v>
                </c:pt>
                <c:pt idx="7">
                  <c:v>961.2</c:v>
                </c:pt>
                <c:pt idx="8">
                  <c:v>956.37</c:v>
                </c:pt>
                <c:pt idx="9">
                  <c:v>845.9</c:v>
                </c:pt>
                <c:pt idx="10">
                  <c:v>829.84</c:v>
                </c:pt>
                <c:pt idx="11">
                  <c:v>671.3</c:v>
                </c:pt>
                <c:pt idx="12">
                  <c:v>576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4531097"/>
        <c:axId val="42344418"/>
      </c:lineChart>
      <c:lineChart>
        <c:grouping val="standard"/>
        <c:varyColors val="0"/>
        <c:ser>
          <c:idx val="1"/>
          <c:order val="1"/>
          <c:tx>
            <c:strRef>
              <c:f>'[4]Monthly indices'!$D$2</c:f>
              <c:strCache>
                <c:ptCount val="1"/>
                <c:pt idx="0">
                  <c:v>NSX Local index (RHS)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cat>
            <c:numRef>
              <c:f>'[4]Monthly indices'!$B$144:$B$156</c:f>
              <c:num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numCache>
            </c:numRef>
          </c:cat>
          <c:val>
            <c:numRef>
              <c:f>'[4]Monthly indices'!$D$144:$D$156</c:f>
              <c:numCache>
                <c:ptCount val="13"/>
                <c:pt idx="0">
                  <c:v>129</c:v>
                </c:pt>
                <c:pt idx="1">
                  <c:v>132</c:v>
                </c:pt>
                <c:pt idx="2">
                  <c:v>133</c:v>
                </c:pt>
                <c:pt idx="3">
                  <c:v>136</c:v>
                </c:pt>
                <c:pt idx="4">
                  <c:v>137</c:v>
                </c:pt>
                <c:pt idx="5">
                  <c:v>139</c:v>
                </c:pt>
                <c:pt idx="6">
                  <c:v>139.78</c:v>
                </c:pt>
                <c:pt idx="7">
                  <c:v>140.29</c:v>
                </c:pt>
                <c:pt idx="8">
                  <c:v>143.91</c:v>
                </c:pt>
                <c:pt idx="9">
                  <c:v>147.9</c:v>
                </c:pt>
                <c:pt idx="10">
                  <c:v>146.49</c:v>
                </c:pt>
                <c:pt idx="11">
                  <c:v>148.94</c:v>
                </c:pt>
                <c:pt idx="12">
                  <c:v>155.8</c:v>
                </c:pt>
              </c:numCache>
            </c:numRef>
          </c:val>
          <c:smooth val="1"/>
        </c:ser>
        <c:marker val="1"/>
        <c:axId val="45555443"/>
        <c:axId val="7345804"/>
      </c:lineChart>
      <c:catAx>
        <c:axId val="34531097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spPr>
          <a:ln w="3175">
            <a:solidFill>
              <a:srgbClr val="800000"/>
            </a:solidFill>
          </a:ln>
        </c:spPr>
        <c:txPr>
          <a:bodyPr vert="horz" rot="-2700000"/>
          <a:lstStyle/>
          <a:p>
            <a:pPr>
              <a:defRPr lang="en-US" cap="none" sz="1375" b="0" i="0" u="none" baseline="0">
                <a:solidFill>
                  <a:srgbClr val="993366"/>
                </a:solidFill>
              </a:defRPr>
            </a:pPr>
          </a:p>
        </c:txPr>
        <c:crossAx val="42344418"/>
        <c:crosses val="autoZero"/>
        <c:auto val="1"/>
        <c:lblOffset val="100"/>
        <c:tickLblSkip val="1"/>
        <c:noMultiLvlLbl val="0"/>
      </c:catAx>
      <c:valAx>
        <c:axId val="42344418"/>
        <c:scaling>
          <c:orientation val="minMax"/>
          <c:max val="102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34531097"/>
        <c:crossesAt val="1"/>
        <c:crossBetween val="between"/>
        <c:dispUnits/>
        <c:majorUnit val="50"/>
        <c:minorUnit val="10"/>
      </c:valAx>
      <c:catAx>
        <c:axId val="45555443"/>
        <c:scaling>
          <c:orientation val="minMax"/>
        </c:scaling>
        <c:axPos val="b"/>
        <c:delete val="1"/>
        <c:majorTickMark val="out"/>
        <c:minorTickMark val="none"/>
        <c:tickLblPos val="nextTo"/>
        <c:crossAx val="7345804"/>
        <c:crosses val="autoZero"/>
        <c:auto val="1"/>
        <c:lblOffset val="100"/>
        <c:tickLblSkip val="1"/>
        <c:noMultiLvlLbl val="0"/>
      </c:catAx>
      <c:valAx>
        <c:axId val="7345804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993366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993366"/>
                </a:solidFill>
              </a:defRPr>
            </a:pPr>
          </a:p>
        </c:txPr>
        <c:crossAx val="4555544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75"/>
          <c:y val="0.9385"/>
          <c:w val="0.496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99336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75"/>
          <c:h val="0.94"/>
        </c:manualLayout>
      </c:layout>
      <c:lineChart>
        <c:grouping val="standard"/>
        <c:varyColors val="0"/>
        <c:ser>
          <c:idx val="1"/>
          <c:order val="0"/>
          <c:tx>
            <c:strRef>
              <c:f>'[5]Inflation CPIX -NCPI'!$D$5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-NCPI'!$B$38:$B$50</c:f>
              <c:numCache>
                <c:ptCount val="13"/>
                <c:pt idx="0">
                  <c:v>39363</c:v>
                </c:pt>
                <c:pt idx="1">
                  <c:v>39395</c:v>
                </c:pt>
                <c:pt idx="2">
                  <c:v>39426</c:v>
                </c:pt>
                <c:pt idx="3">
                  <c:v>39458</c:v>
                </c:pt>
                <c:pt idx="4">
                  <c:v>39490</c:v>
                </c:pt>
                <c:pt idx="5">
                  <c:v>39520</c:v>
                </c:pt>
                <c:pt idx="6">
                  <c:v>39552</c:v>
                </c:pt>
                <c:pt idx="7">
                  <c:v>39583</c:v>
                </c:pt>
                <c:pt idx="8">
                  <c:v>39615</c:v>
                </c:pt>
                <c:pt idx="9">
                  <c:v>39646</c:v>
                </c:pt>
                <c:pt idx="10">
                  <c:v>39678</c:v>
                </c:pt>
                <c:pt idx="11">
                  <c:v>39710</c:v>
                </c:pt>
                <c:pt idx="12">
                  <c:v>39741</c:v>
                </c:pt>
              </c:numCache>
            </c:numRef>
          </c:cat>
          <c:val>
            <c:numRef>
              <c:f>'[5]Inflation CPIX -NCPI'!$D$38:$D$50</c:f>
              <c:numCache>
                <c:ptCount val="13"/>
                <c:pt idx="0">
                  <c:v>6.6</c:v>
                </c:pt>
                <c:pt idx="1">
                  <c:v>6.9</c:v>
                </c:pt>
                <c:pt idx="2">
                  <c:v>7.1</c:v>
                </c:pt>
                <c:pt idx="3">
                  <c:v>7.8</c:v>
                </c:pt>
                <c:pt idx="4">
                  <c:v>7.9</c:v>
                </c:pt>
                <c:pt idx="5">
                  <c:v>8.4</c:v>
                </c:pt>
                <c:pt idx="6">
                  <c:v>9.3</c:v>
                </c:pt>
                <c:pt idx="7">
                  <c:v>9.7</c:v>
                </c:pt>
                <c:pt idx="8">
                  <c:v>10.3</c:v>
                </c:pt>
                <c:pt idx="9">
                  <c:v>11.9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'[5]Inflation CPIX -NCPI'!$C$5</c:f>
              <c:strCache>
                <c:ptCount val="1"/>
                <c:pt idx="0">
                  <c:v>RSA CPIX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'[5]Inflation CPIX -NCPI'!$B$38:$B$50</c:f>
              <c:numCache>
                <c:ptCount val="13"/>
                <c:pt idx="0">
                  <c:v>39363</c:v>
                </c:pt>
                <c:pt idx="1">
                  <c:v>39395</c:v>
                </c:pt>
                <c:pt idx="2">
                  <c:v>39426</c:v>
                </c:pt>
                <c:pt idx="3">
                  <c:v>39458</c:v>
                </c:pt>
                <c:pt idx="4">
                  <c:v>39490</c:v>
                </c:pt>
                <c:pt idx="5">
                  <c:v>39520</c:v>
                </c:pt>
                <c:pt idx="6">
                  <c:v>39552</c:v>
                </c:pt>
                <c:pt idx="7">
                  <c:v>39583</c:v>
                </c:pt>
                <c:pt idx="8">
                  <c:v>39615</c:v>
                </c:pt>
                <c:pt idx="9">
                  <c:v>39646</c:v>
                </c:pt>
                <c:pt idx="10">
                  <c:v>39678</c:v>
                </c:pt>
                <c:pt idx="11">
                  <c:v>39710</c:v>
                </c:pt>
                <c:pt idx="12">
                  <c:v>39741</c:v>
                </c:pt>
              </c:numCache>
            </c:numRef>
          </c:cat>
          <c:val>
            <c:numRef>
              <c:f>'[5]Inflation CPIX -NCPI'!$C$38:$C$50</c:f>
              <c:numCache>
                <c:ptCount val="13"/>
                <c:pt idx="0">
                  <c:v>7.3</c:v>
                </c:pt>
                <c:pt idx="1">
                  <c:v>7.9</c:v>
                </c:pt>
                <c:pt idx="2">
                  <c:v>8.6</c:v>
                </c:pt>
                <c:pt idx="3">
                  <c:v>8.8</c:v>
                </c:pt>
                <c:pt idx="4">
                  <c:v>9.4</c:v>
                </c:pt>
                <c:pt idx="5">
                  <c:v>10.1</c:v>
                </c:pt>
                <c:pt idx="6">
                  <c:v>10.4</c:v>
                </c:pt>
                <c:pt idx="7">
                  <c:v>10.9</c:v>
                </c:pt>
                <c:pt idx="8">
                  <c:v>11.6</c:v>
                </c:pt>
                <c:pt idx="9">
                  <c:v>13</c:v>
                </c:pt>
                <c:pt idx="10">
                  <c:v>13.6</c:v>
                </c:pt>
                <c:pt idx="11">
                  <c:v>13</c:v>
                </c:pt>
                <c:pt idx="12">
                  <c:v>12.4</c:v>
                </c:pt>
              </c:numCache>
            </c:numRef>
          </c:val>
          <c:smooth val="1"/>
        </c:ser>
        <c:marker val="1"/>
        <c:axId val="66112237"/>
        <c:axId val="58139222"/>
      </c:lineChart>
      <c:catAx>
        <c:axId val="66112237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80000"/>
          <a:lstStyle/>
          <a:p>
            <a:pPr>
              <a:defRPr lang="en-US" cap="none" sz="1400" b="0" i="0" u="none" baseline="0">
                <a:solidFill>
                  <a:srgbClr val="993366"/>
                </a:solidFill>
              </a:defRPr>
            </a:pPr>
          </a:p>
        </c:txPr>
        <c:crossAx val="58139222"/>
        <c:crosses val="autoZero"/>
        <c:auto val="0"/>
        <c:lblOffset val="100"/>
        <c:tickLblSkip val="1"/>
        <c:noMultiLvlLbl val="0"/>
      </c:catAx>
      <c:valAx>
        <c:axId val="58139222"/>
        <c:scaling>
          <c:orientation val="minMax"/>
          <c:max val="1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993366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1"/>
              <c:y val="0.02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66"/>
                </a:solidFill>
              </a:defRPr>
            </a:pPr>
          </a:p>
        </c:txPr>
        <c:crossAx val="66112237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9375"/>
          <c:w val="0.578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99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993366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2625"/>
          <c:w val="0.95425"/>
          <c:h val="0.95425"/>
        </c:manualLayout>
      </c:layout>
      <c:lineChart>
        <c:grouping val="stacke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'S6'!$BG$4:$BS$4</c:f>
              <c:strCache>
                <c:ptCount val="13"/>
                <c:pt idx="0">
                  <c:v>39386</c:v>
                </c:pt>
                <c:pt idx="1">
                  <c:v>39416</c:v>
                </c:pt>
                <c:pt idx="2">
                  <c:v>39447</c:v>
                </c:pt>
                <c:pt idx="3">
                  <c:v>39478</c:v>
                </c:pt>
                <c:pt idx="4">
                  <c:v>39507</c:v>
                </c:pt>
                <c:pt idx="5">
                  <c:v>39538</c:v>
                </c:pt>
                <c:pt idx="6">
                  <c:v>39568</c:v>
                </c:pt>
                <c:pt idx="7">
                  <c:v>39599</c:v>
                </c:pt>
                <c:pt idx="8">
                  <c:v>39629</c:v>
                </c:pt>
                <c:pt idx="9">
                  <c:v>39660</c:v>
                </c:pt>
                <c:pt idx="10">
                  <c:v>39691</c:v>
                </c:pt>
                <c:pt idx="11">
                  <c:v>39721</c:v>
                </c:pt>
                <c:pt idx="12">
                  <c:v>39752</c:v>
                </c:pt>
              </c:strCache>
            </c:strRef>
          </c:cat>
          <c:val>
            <c:numRef>
              <c:f>'S6'!$BG$13:$BS$13</c:f>
              <c:numCache>
                <c:ptCount val="13"/>
                <c:pt idx="0">
                  <c:v>0.14764724121129796</c:v>
                </c:pt>
                <c:pt idx="1">
                  <c:v>0.14923145799134457</c:v>
                </c:pt>
                <c:pt idx="2">
                  <c:v>0.14647507726560327</c:v>
                </c:pt>
                <c:pt idx="3">
                  <c:v>0.1431208942193471</c:v>
                </c:pt>
                <c:pt idx="4">
                  <c:v>0.13091404184012775</c:v>
                </c:pt>
                <c:pt idx="5">
                  <c:v>0.1253148535695936</c:v>
                </c:pt>
                <c:pt idx="6">
                  <c:v>0.1283153477987502</c:v>
                </c:pt>
                <c:pt idx="7">
                  <c:v>0.13116818384532647</c:v>
                </c:pt>
                <c:pt idx="8">
                  <c:v>0.12628175986260545</c:v>
                </c:pt>
                <c:pt idx="9">
                  <c:v>0.13090204599897895</c:v>
                </c:pt>
                <c:pt idx="10">
                  <c:v>0.1305858079343937</c:v>
                </c:pt>
                <c:pt idx="11">
                  <c:v>0.12426682572820359</c:v>
                </c:pt>
                <c:pt idx="12">
                  <c:v>0.10339657757328233</c:v>
                </c:pt>
              </c:numCache>
            </c:numRef>
          </c:val>
          <c:smooth val="1"/>
        </c:ser>
        <c:marker val="1"/>
        <c:axId val="53490951"/>
        <c:axId val="11656512"/>
      </c:lineChart>
      <c:dateAx>
        <c:axId val="5349095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1600" b="0" i="0" u="none" baseline="0">
                <a:solidFill>
                  <a:srgbClr val="993366"/>
                </a:solidFill>
              </a:defRPr>
            </a:pPr>
          </a:p>
        </c:txPr>
        <c:crossAx val="11656512"/>
        <c:crossesAt val="0.08900000000000005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1656512"/>
        <c:scaling>
          <c:orientation val="minMax"/>
          <c:max val="0.15000000000000008"/>
          <c:min val="0.09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993366"/>
                    </a:solidFill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93366"/>
                </a:solidFill>
              </a:defRPr>
            </a:pPr>
          </a:p>
        </c:txPr>
        <c:crossAx val="53490951"/>
        <c:crossesAt val="1"/>
        <c:crossBetween val="between"/>
        <c:dispUnits/>
        <c:maj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99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2</xdr:row>
      <xdr:rowOff>19050</xdr:rowOff>
    </xdr:from>
    <xdr:to>
      <xdr:col>0</xdr:col>
      <xdr:colOff>4524375</xdr:colOff>
      <xdr:row>5</xdr:row>
      <xdr:rowOff>228600</xdr:rowOff>
    </xdr:to>
    <xdr:pic>
      <xdr:nvPicPr>
        <xdr:cNvPr id="1" name="Picture 33" descr="seriena"/>
        <xdr:cNvPicPr preferRelativeResize="1">
          <a:picLocks noChangeAspect="1"/>
        </xdr:cNvPicPr>
      </xdr:nvPicPr>
      <xdr:blipFill>
        <a:blip r:embed="rId1"/>
        <a:srcRect l="11538" r="38461" b="13333"/>
        <a:stretch>
          <a:fillRect/>
        </a:stretch>
      </xdr:blipFill>
      <xdr:spPr>
        <a:xfrm>
          <a:off x="2800350" y="600075"/>
          <a:ext cx="1714500" cy="1533525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190500</xdr:rowOff>
    </xdr:from>
    <xdr:to>
      <xdr:col>15</xdr:col>
      <xdr:colOff>257175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619125" y="914400"/>
        <a:ext cx="89249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29</xdr:row>
      <xdr:rowOff>0</xdr:rowOff>
    </xdr:from>
    <xdr:to>
      <xdr:col>15</xdr:col>
      <xdr:colOff>247650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619125" y="5495925"/>
        <a:ext cx="891540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15</xdr:col>
      <xdr:colOff>247650</xdr:colOff>
      <xdr:row>29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87820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247650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609600" y="5057775"/>
        <a:ext cx="87820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17</xdr:col>
      <xdr:colOff>228600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609600" y="1095375"/>
        <a:ext cx="93726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17</xdr:col>
      <xdr:colOff>257175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609600" y="6315075"/>
        <a:ext cx="94011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61</xdr:row>
      <xdr:rowOff>152400</xdr:rowOff>
    </xdr:from>
    <xdr:to>
      <xdr:col>17</xdr:col>
      <xdr:colOff>257175</xdr:colOff>
      <xdr:row>95</xdr:row>
      <xdr:rowOff>95250</xdr:rowOff>
    </xdr:to>
    <xdr:graphicFrame>
      <xdr:nvGraphicFramePr>
        <xdr:cNvPr id="3" name="Chart 1"/>
        <xdr:cNvGraphicFramePr/>
      </xdr:nvGraphicFramePr>
      <xdr:xfrm>
        <a:off x="609600" y="11991975"/>
        <a:ext cx="9401175" cy="512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39</xdr:row>
      <xdr:rowOff>76200</xdr:rowOff>
    </xdr:from>
    <xdr:to>
      <xdr:col>19</xdr:col>
      <xdr:colOff>314325</xdr:colOff>
      <xdr:row>69</xdr:row>
      <xdr:rowOff>47625</xdr:rowOff>
    </xdr:to>
    <xdr:graphicFrame>
      <xdr:nvGraphicFramePr>
        <xdr:cNvPr id="1" name="Chart 9"/>
        <xdr:cNvGraphicFramePr/>
      </xdr:nvGraphicFramePr>
      <xdr:xfrm>
        <a:off x="571500" y="6600825"/>
        <a:ext cx="112966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5</xdr:row>
      <xdr:rowOff>0</xdr:rowOff>
    </xdr:from>
    <xdr:to>
      <xdr:col>19</xdr:col>
      <xdr:colOff>238125</xdr:colOff>
      <xdr:row>34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14400"/>
          <a:ext cx="111823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Output%20tables\Linked%20tab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Capital%20Market\NSX\Monthly%20Indices%20of%20NS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onetary%20Data\New%20Framework%20(Roman)\Compilation%20Worksheet\Working%20Files\Selected%20Monthly%20Statistics\inf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</sheetNames>
    <sheetDataSet>
      <sheetData sheetId="7">
        <row r="2">
          <cell r="BG2">
            <v>39386</v>
          </cell>
          <cell r="BH2">
            <v>39416</v>
          </cell>
          <cell r="BI2">
            <v>39447</v>
          </cell>
          <cell r="BJ2">
            <v>39478</v>
          </cell>
          <cell r="BK2">
            <v>39507</v>
          </cell>
          <cell r="BL2">
            <v>39538</v>
          </cell>
          <cell r="BM2">
            <v>39568</v>
          </cell>
          <cell r="BN2">
            <v>39599</v>
          </cell>
          <cell r="BO2">
            <v>39629</v>
          </cell>
          <cell r="BP2">
            <v>39660</v>
          </cell>
          <cell r="BQ2">
            <v>39691</v>
          </cell>
          <cell r="BR2">
            <v>39721</v>
          </cell>
          <cell r="BS2">
            <v>39752</v>
          </cell>
        </row>
        <row r="8">
          <cell r="BG8">
            <v>-2.7589230989430136</v>
          </cell>
          <cell r="BH8">
            <v>4.832978084768574</v>
          </cell>
          <cell r="BI8">
            <v>-5.3112094228906646</v>
          </cell>
          <cell r="BJ8">
            <v>4.434503079596363</v>
          </cell>
          <cell r="BK8">
            <v>6.974092845707876</v>
          </cell>
          <cell r="BL8">
            <v>-2.4745243551078944</v>
          </cell>
          <cell r="BM8">
            <v>2.799180720158031</v>
          </cell>
          <cell r="BN8">
            <v>-0.04210277374891742</v>
          </cell>
          <cell r="BO8">
            <v>0.8272827782340273</v>
          </cell>
          <cell r="BP8">
            <v>6.327522043796926</v>
          </cell>
          <cell r="BQ8">
            <v>-5.37998189760437</v>
          </cell>
          <cell r="BR8">
            <v>2.8928078536101274</v>
          </cell>
          <cell r="BS8">
            <v>0.6439831021346714</v>
          </cell>
        </row>
        <row r="9">
          <cell r="BG9">
            <v>-1.0470244905095525</v>
          </cell>
          <cell r="BH9">
            <v>6.127457681158374</v>
          </cell>
          <cell r="BI9">
            <v>-8.520998937035635</v>
          </cell>
          <cell r="BJ9">
            <v>5.97477485036336</v>
          </cell>
          <cell r="BK9">
            <v>13.002097574932087</v>
          </cell>
          <cell r="BL9">
            <v>-1.3524626113997604</v>
          </cell>
          <cell r="BM9">
            <v>2.1102644246997935</v>
          </cell>
          <cell r="BN9">
            <v>-1.5600971040161113</v>
          </cell>
          <cell r="BO9">
            <v>4.878776647467522</v>
          </cell>
          <cell r="BP9">
            <v>8.088498086381813</v>
          </cell>
          <cell r="BQ9">
            <v>-4.4759391526018995</v>
          </cell>
          <cell r="BR9">
            <v>1.2390717930486315</v>
          </cell>
          <cell r="BS9">
            <v>-7.4774713855295865</v>
          </cell>
        </row>
        <row r="10">
          <cell r="A10" t="str">
            <v>M2</v>
          </cell>
        </row>
        <row r="11">
          <cell r="A11" t="str">
            <v>M1</v>
          </cell>
        </row>
      </sheetData>
      <sheetData sheetId="8">
        <row r="2"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</row>
        <row r="3">
          <cell r="BH3">
            <v>6499.853570999999</v>
          </cell>
          <cell r="BI3">
            <v>6257.02633294</v>
          </cell>
          <cell r="BJ3">
            <v>6743.949222620002</v>
          </cell>
          <cell r="BK3">
            <v>8497.90853458</v>
          </cell>
          <cell r="BL3">
            <v>8656.654479950002</v>
          </cell>
          <cell r="BM3">
            <v>8900.780324439998</v>
          </cell>
          <cell r="BN3">
            <v>9949.63092274</v>
          </cell>
          <cell r="BO3">
            <v>9441.90025126</v>
          </cell>
          <cell r="BP3">
            <v>9697.814715469998</v>
          </cell>
          <cell r="BQ3">
            <v>11758.2039831</v>
          </cell>
          <cell r="BR3">
            <v>10730.849802119998</v>
          </cell>
          <cell r="BS3">
            <v>10942.098551590001</v>
          </cell>
          <cell r="BT3">
            <v>13805.317071959998</v>
          </cell>
        </row>
      </sheetData>
      <sheetData sheetId="9">
        <row r="2">
          <cell r="BH2">
            <v>39386</v>
          </cell>
          <cell r="BI2">
            <v>39416</v>
          </cell>
          <cell r="BJ2">
            <v>39447</v>
          </cell>
          <cell r="BK2">
            <v>39478</v>
          </cell>
          <cell r="BL2">
            <v>39507</v>
          </cell>
          <cell r="BM2">
            <v>39538</v>
          </cell>
          <cell r="BN2">
            <v>39568</v>
          </cell>
          <cell r="BO2">
            <v>39599</v>
          </cell>
          <cell r="BP2">
            <v>39629</v>
          </cell>
          <cell r="BQ2">
            <v>39660</v>
          </cell>
          <cell r="BR2">
            <v>39691</v>
          </cell>
          <cell r="BS2">
            <v>39721</v>
          </cell>
          <cell r="BT2">
            <v>39752</v>
          </cell>
        </row>
        <row r="9">
          <cell r="M9">
            <v>2004</v>
          </cell>
          <cell r="Y9">
            <v>2005</v>
          </cell>
          <cell r="AK9">
            <v>2006</v>
          </cell>
          <cell r="AW9">
            <v>2007</v>
          </cell>
          <cell r="BI9">
            <v>2008</v>
          </cell>
        </row>
        <row r="10">
          <cell r="M10" t="str">
            <v>Jan</v>
          </cell>
          <cell r="N10" t="str">
            <v>Feb</v>
          </cell>
          <cell r="O10" t="str">
            <v>Mar</v>
          </cell>
          <cell r="P10" t="str">
            <v>Apr</v>
          </cell>
          <cell r="Q10" t="str">
            <v>May</v>
          </cell>
          <cell r="R10" t="str">
            <v>Jun</v>
          </cell>
          <cell r="S10" t="str">
            <v>Jul</v>
          </cell>
          <cell r="T10" t="str">
            <v>Aug</v>
          </cell>
          <cell r="U10" t="str">
            <v>Sep</v>
          </cell>
          <cell r="V10" t="str">
            <v>Oct</v>
          </cell>
          <cell r="W10" t="str">
            <v>Nov</v>
          </cell>
          <cell r="X10" t="str">
            <v>Dec</v>
          </cell>
          <cell r="Y10" t="str">
            <v>Jan</v>
          </cell>
          <cell r="Z10" t="str">
            <v>Feb</v>
          </cell>
          <cell r="AA10" t="str">
            <v>Mar</v>
          </cell>
          <cell r="AB10" t="str">
            <v>Apr</v>
          </cell>
          <cell r="AC10" t="str">
            <v>May</v>
          </cell>
          <cell r="AD10" t="str">
            <v>Jun</v>
          </cell>
          <cell r="AE10" t="str">
            <v>Jul</v>
          </cell>
          <cell r="AF10" t="str">
            <v>Aug</v>
          </cell>
          <cell r="AG10" t="str">
            <v>Sep</v>
          </cell>
          <cell r="AH10" t="str">
            <v>Oct</v>
          </cell>
          <cell r="AI10" t="str">
            <v>Nov</v>
          </cell>
          <cell r="AJ10" t="str">
            <v>Dec</v>
          </cell>
          <cell r="AK10" t="str">
            <v>Jan</v>
          </cell>
          <cell r="AL10" t="str">
            <v>Feb</v>
          </cell>
          <cell r="AM10" t="str">
            <v>Mar</v>
          </cell>
          <cell r="AN10" t="str">
            <v>Apr</v>
          </cell>
          <cell r="AO10" t="str">
            <v>May</v>
          </cell>
          <cell r="AP10" t="str">
            <v>Jun</v>
          </cell>
          <cell r="AQ10" t="str">
            <v>Jul</v>
          </cell>
          <cell r="AR10" t="str">
            <v>Aug</v>
          </cell>
          <cell r="AS10" t="str">
            <v>Sep</v>
          </cell>
          <cell r="AT10" t="str">
            <v>Oct</v>
          </cell>
          <cell r="AU10" t="str">
            <v>Nov</v>
          </cell>
          <cell r="AV10" t="str">
            <v>Dec</v>
          </cell>
          <cell r="AW10" t="str">
            <v>Jan</v>
          </cell>
          <cell r="AX10" t="str">
            <v>Feb</v>
          </cell>
          <cell r="AY10" t="str">
            <v>Mar</v>
          </cell>
          <cell r="AZ10" t="str">
            <v>Apr</v>
          </cell>
          <cell r="BA10" t="str">
            <v>May</v>
          </cell>
          <cell r="BB10" t="str">
            <v>Jun</v>
          </cell>
          <cell r="BC10" t="str">
            <v>Jul</v>
          </cell>
          <cell r="BD10" t="str">
            <v>Aug</v>
          </cell>
          <cell r="BE10" t="str">
            <v>Sep</v>
          </cell>
          <cell r="BF10" t="str">
            <v>Oct</v>
          </cell>
          <cell r="BG10" t="str">
            <v>Nov</v>
          </cell>
          <cell r="BH10" t="str">
            <v>Dec</v>
          </cell>
          <cell r="BI10" t="str">
            <v>Jan</v>
          </cell>
          <cell r="BJ10" t="str">
            <v>Feb</v>
          </cell>
          <cell r="BK10" t="str">
            <v>Mar</v>
          </cell>
          <cell r="BL10" t="str">
            <v>Apr</v>
          </cell>
          <cell r="BM10" t="str">
            <v>May</v>
          </cell>
          <cell r="BN10" t="str">
            <v>Jun</v>
          </cell>
          <cell r="BO10" t="str">
            <v>Jul</v>
          </cell>
          <cell r="BP10" t="str">
            <v>Aug</v>
          </cell>
          <cell r="BQ10" t="str">
            <v>Sep</v>
          </cell>
          <cell r="BR10" t="str">
            <v>Oct</v>
          </cell>
        </row>
        <row r="11">
          <cell r="B11" t="str">
            <v>Domestic claims</v>
          </cell>
          <cell r="BF11">
            <v>0.5417165785074152</v>
          </cell>
          <cell r="BG11">
            <v>1.5991716628706223</v>
          </cell>
          <cell r="BH11">
            <v>-2.517276850806411</v>
          </cell>
          <cell r="BI11">
            <v>-3.723489432998802</v>
          </cell>
          <cell r="BJ11">
            <v>4.100410590801487</v>
          </cell>
          <cell r="BK11">
            <v>2.039518532370704</v>
          </cell>
          <cell r="BL11">
            <v>-3.6986349181736697</v>
          </cell>
          <cell r="BM11">
            <v>0.7103561904573192</v>
          </cell>
          <cell r="BN11">
            <v>1.6125924625514372</v>
          </cell>
          <cell r="BO11">
            <v>-4.399490493217304</v>
          </cell>
          <cell r="BP11">
            <v>4.851910087405438</v>
          </cell>
          <cell r="BQ11">
            <v>2.657976274018554</v>
          </cell>
          <cell r="BR11">
            <v>-4.830797456283062</v>
          </cell>
        </row>
        <row r="12">
          <cell r="B12" t="str">
            <v>Other sectors claims</v>
          </cell>
          <cell r="BF12">
            <v>2.322314477660483</v>
          </cell>
          <cell r="BG12">
            <v>1.135154088313461</v>
          </cell>
          <cell r="BH12">
            <v>0.13217197265944805</v>
          </cell>
          <cell r="BI12">
            <v>0.659734166932406</v>
          </cell>
          <cell r="BJ12">
            <v>1.7631459638475206</v>
          </cell>
          <cell r="BK12">
            <v>1.2906821953446157</v>
          </cell>
          <cell r="BL12">
            <v>0.8082505918853169</v>
          </cell>
          <cell r="BM12">
            <v>-0.6092556717745857</v>
          </cell>
          <cell r="BN12">
            <v>1.188283065867892</v>
          </cell>
          <cell r="BO12">
            <v>0.6884786335654285</v>
          </cell>
          <cell r="BP12">
            <v>1.2104707999286515</v>
          </cell>
          <cell r="BQ12">
            <v>0.7539465025562863</v>
          </cell>
          <cell r="BR12">
            <v>1.2872926060997363</v>
          </cell>
        </row>
        <row r="13">
          <cell r="M13">
            <v>21.757986169567456</v>
          </cell>
          <cell r="N13">
            <v>20.62510238876094</v>
          </cell>
          <cell r="O13">
            <v>19.25014474488553</v>
          </cell>
          <cell r="P13">
            <v>14.027123055301715</v>
          </cell>
          <cell r="Q13">
            <v>19.553297200640742</v>
          </cell>
          <cell r="R13">
            <v>19.443726367253888</v>
          </cell>
          <cell r="S13">
            <v>19.160413066801784</v>
          </cell>
          <cell r="T13">
            <v>22.952337255321797</v>
          </cell>
          <cell r="U13">
            <v>21.93219477802335</v>
          </cell>
          <cell r="V13">
            <v>27.589419512624993</v>
          </cell>
          <cell r="W13">
            <v>23.142062124149867</v>
          </cell>
          <cell r="X13">
            <v>21.18963990348699</v>
          </cell>
          <cell r="Y13">
            <v>19.461769399119365</v>
          </cell>
          <cell r="Z13">
            <v>17.909698620631342</v>
          </cell>
          <cell r="AA13">
            <v>16.294317657529955</v>
          </cell>
          <cell r="AB13">
            <v>20.936849276582457</v>
          </cell>
          <cell r="AC13">
            <v>17.768567379635456</v>
          </cell>
          <cell r="AD13">
            <v>18.69481790251848</v>
          </cell>
          <cell r="AE13">
            <v>20.631773545428047</v>
          </cell>
          <cell r="AF13">
            <v>19.006522603819477</v>
          </cell>
          <cell r="AG13">
            <v>20.28633475834727</v>
          </cell>
          <cell r="AH13">
            <v>16.208010879825995</v>
          </cell>
          <cell r="AI13">
            <v>16.816686062233146</v>
          </cell>
          <cell r="AJ13">
            <v>20.27694829606601</v>
          </cell>
          <cell r="AK13">
            <v>19.874775739573924</v>
          </cell>
          <cell r="AL13">
            <v>19.817026711056897</v>
          </cell>
          <cell r="AM13">
            <v>19.725414837752563</v>
          </cell>
          <cell r="AN13">
            <v>14.271499938078968</v>
          </cell>
          <cell r="AO13">
            <v>15.603419828982057</v>
          </cell>
          <cell r="AP13">
            <v>15.640346284363105</v>
          </cell>
          <cell r="AQ13">
            <v>13.800087472204625</v>
          </cell>
          <cell r="AR13">
            <v>14.21303601592372</v>
          </cell>
          <cell r="AS13">
            <v>12.095475932032219</v>
          </cell>
          <cell r="AT13">
            <v>11.418485937226496</v>
          </cell>
          <cell r="AU13">
            <v>11.836894907434514</v>
          </cell>
          <cell r="AV13">
            <v>7.966196083411026</v>
          </cell>
          <cell r="AW13">
            <v>4.010736885898614</v>
          </cell>
          <cell r="AX13">
            <v>4.637972592747919</v>
          </cell>
          <cell r="AY13">
            <v>2.888790849040257</v>
          </cell>
          <cell r="AZ13">
            <v>3.133528742828151</v>
          </cell>
          <cell r="BA13">
            <v>2.4665334093153524</v>
          </cell>
          <cell r="BB13">
            <v>0.4752296252192423</v>
          </cell>
          <cell r="BC13">
            <v>3.4455170277858604</v>
          </cell>
          <cell r="BD13">
            <v>4.892002211756874</v>
          </cell>
          <cell r="BE13">
            <v>8.158456531683811</v>
          </cell>
          <cell r="BF13">
            <v>10.435665788951031</v>
          </cell>
          <cell r="BG13">
            <v>8.935395232768006</v>
          </cell>
          <cell r="BH13">
            <v>5.96728355993994</v>
          </cell>
          <cell r="BI13">
            <v>8.549355669475833</v>
          </cell>
          <cell r="BJ13">
            <v>9.211763790716487</v>
          </cell>
          <cell r="BK13">
            <v>12.685505172385113</v>
          </cell>
          <cell r="BL13">
            <v>11.30934667053014</v>
          </cell>
          <cell r="BM13">
            <v>8.100694746885996</v>
          </cell>
          <cell r="BN13">
            <v>9.120570936596884</v>
          </cell>
          <cell r="BO13">
            <v>3.099499701019215</v>
          </cell>
          <cell r="BP13">
            <v>3.949836172091259</v>
          </cell>
          <cell r="BQ13">
            <v>3.2734437172182496</v>
          </cell>
          <cell r="BR13">
            <v>-2.2450419887489637</v>
          </cell>
        </row>
        <row r="14">
          <cell r="M14">
            <v>17.17351543747261</v>
          </cell>
          <cell r="N14">
            <v>16.218905328490905</v>
          </cell>
          <cell r="O14">
            <v>17.00577707944497</v>
          </cell>
          <cell r="P14">
            <v>16.474328163559804</v>
          </cell>
          <cell r="Q14">
            <v>19.77120371626986</v>
          </cell>
          <cell r="R14">
            <v>17.622561514420564</v>
          </cell>
          <cell r="S14">
            <v>19.204325435149137</v>
          </cell>
          <cell r="T14">
            <v>21.19610024029366</v>
          </cell>
          <cell r="U14">
            <v>20.075967022811003</v>
          </cell>
          <cell r="V14">
            <v>21.498278249022352</v>
          </cell>
          <cell r="W14">
            <v>19.281257329642344</v>
          </cell>
          <cell r="X14">
            <v>19.335701774939107</v>
          </cell>
          <cell r="Y14">
            <v>13.636036123964557</v>
          </cell>
          <cell r="Z14">
            <v>14.091721818706105</v>
          </cell>
          <cell r="AA14">
            <v>12.021385831499343</v>
          </cell>
          <cell r="AB14">
            <v>13.783462415652892</v>
          </cell>
          <cell r="AC14">
            <v>10.789486032302364</v>
          </cell>
          <cell r="AD14">
            <v>9.917221720306667</v>
          </cell>
          <cell r="AE14">
            <v>13.559290649294976</v>
          </cell>
          <cell r="AF14">
            <v>11.514648669438987</v>
          </cell>
          <cell r="AG14">
            <v>12.829092374290486</v>
          </cell>
          <cell r="AH14">
            <v>10.142278272890582</v>
          </cell>
          <cell r="AI14">
            <v>10.96436181069067</v>
          </cell>
          <cell r="AJ14">
            <v>12.880855752628051</v>
          </cell>
          <cell r="AK14">
            <v>16.71721161945716</v>
          </cell>
          <cell r="AL14">
            <v>18.735725347689012</v>
          </cell>
          <cell r="AM14">
            <v>18.534756717396906</v>
          </cell>
          <cell r="AN14">
            <v>16.990890084819377</v>
          </cell>
          <cell r="AO14">
            <v>18.347301134829852</v>
          </cell>
          <cell r="AP14">
            <v>19.05258222424213</v>
          </cell>
          <cell r="AQ14">
            <v>18.07928923420974</v>
          </cell>
          <cell r="AR14">
            <v>17.910809559405916</v>
          </cell>
          <cell r="AS14">
            <v>15.677649005448014</v>
          </cell>
          <cell r="AT14">
            <v>17.84592134908638</v>
          </cell>
          <cell r="AU14">
            <v>15.535544242103017</v>
          </cell>
          <cell r="AV14">
            <v>13.36691725868735</v>
          </cell>
          <cell r="AW14">
            <v>16.126949169539117</v>
          </cell>
          <cell r="AX14">
            <v>14.442133967543992</v>
          </cell>
          <cell r="AY14">
            <v>15.800739639166883</v>
          </cell>
          <cell r="AZ14">
            <v>14.016054744465789</v>
          </cell>
          <cell r="BA14">
            <v>12.237700033953057</v>
          </cell>
          <cell r="BB14">
            <v>13.58376823554548</v>
          </cell>
          <cell r="BC14">
            <v>11.004111075035317</v>
          </cell>
          <cell r="BD14">
            <v>11.451903726917866</v>
          </cell>
          <cell r="BE14">
            <v>12.251837402835065</v>
          </cell>
          <cell r="BF14">
            <v>13.106953403873757</v>
          </cell>
          <cell r="BG14">
            <v>14.205098425194018</v>
          </cell>
          <cell r="BH14">
            <v>13.57521524566696</v>
          </cell>
          <cell r="BI14">
            <v>11.356768676110573</v>
          </cell>
          <cell r="BJ14">
            <v>11.64327804807117</v>
          </cell>
          <cell r="BK14">
            <v>12.181822067431147</v>
          </cell>
          <cell r="BL14">
            <v>12.60260991208324</v>
          </cell>
          <cell r="BM14">
            <v>11.761168749775951</v>
          </cell>
          <cell r="BN14">
            <v>11.16335479915891</v>
          </cell>
          <cell r="BO14">
            <v>11.351779594730305</v>
          </cell>
          <cell r="BP14">
            <v>11.946437217986915</v>
          </cell>
          <cell r="BQ14">
            <v>11.918394217995786</v>
          </cell>
          <cell r="BR14">
            <v>10.786305030638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</sheetNames>
    <sheetDataSet>
      <sheetData sheetId="0">
        <row r="5">
          <cell r="J5" t="str">
            <v>Deposit </v>
          </cell>
          <cell r="K5" t="str">
            <v>Lending </v>
          </cell>
        </row>
        <row r="6">
          <cell r="J6" t="str">
            <v>Rates </v>
          </cell>
          <cell r="K6" t="str">
            <v>Rates </v>
          </cell>
        </row>
        <row r="210">
          <cell r="C210">
            <v>39357</v>
          </cell>
          <cell r="E210">
            <v>10.5</v>
          </cell>
          <cell r="J210">
            <v>7.95</v>
          </cell>
          <cell r="K210">
            <v>13.56</v>
          </cell>
        </row>
        <row r="211">
          <cell r="C211">
            <v>39388</v>
          </cell>
          <cell r="E211">
            <v>10.5</v>
          </cell>
          <cell r="J211">
            <v>8.08</v>
          </cell>
          <cell r="K211">
            <v>14.53</v>
          </cell>
        </row>
        <row r="212">
          <cell r="C212">
            <v>39418</v>
          </cell>
          <cell r="E212">
            <v>10.5</v>
          </cell>
          <cell r="J212">
            <v>8.28</v>
          </cell>
          <cell r="K212">
            <v>13.59</v>
          </cell>
        </row>
        <row r="213">
          <cell r="C213">
            <v>39449</v>
          </cell>
          <cell r="E213">
            <v>10.5</v>
          </cell>
          <cell r="J213">
            <v>8.13</v>
          </cell>
          <cell r="K213">
            <v>14.01</v>
          </cell>
        </row>
        <row r="214">
          <cell r="C214">
            <v>39480</v>
          </cell>
          <cell r="E214">
            <v>10.5</v>
          </cell>
          <cell r="J214">
            <v>8.23</v>
          </cell>
          <cell r="K214">
            <v>14.18</v>
          </cell>
        </row>
        <row r="215">
          <cell r="C215">
            <v>39509</v>
          </cell>
          <cell r="E215">
            <v>10.5</v>
          </cell>
          <cell r="J215">
            <v>8.35</v>
          </cell>
          <cell r="K215">
            <v>13.93</v>
          </cell>
        </row>
        <row r="216">
          <cell r="C216">
            <v>39540</v>
          </cell>
          <cell r="E216">
            <v>10.5</v>
          </cell>
          <cell r="J216">
            <v>8.14</v>
          </cell>
          <cell r="K216">
            <v>13.14</v>
          </cell>
        </row>
        <row r="217">
          <cell r="C217">
            <v>39570</v>
          </cell>
          <cell r="E217">
            <v>10.5</v>
          </cell>
          <cell r="J217">
            <v>8.29</v>
          </cell>
          <cell r="K217">
            <v>13.2</v>
          </cell>
        </row>
        <row r="218">
          <cell r="C218">
            <v>39601</v>
          </cell>
          <cell r="E218">
            <v>10.5</v>
          </cell>
          <cell r="J218">
            <v>8.33</v>
          </cell>
          <cell r="K218">
            <v>13.49</v>
          </cell>
        </row>
        <row r="219">
          <cell r="C219">
            <v>39631</v>
          </cell>
          <cell r="E219">
            <v>10.5</v>
          </cell>
          <cell r="J219">
            <v>8.28</v>
          </cell>
          <cell r="K219">
            <v>13.13</v>
          </cell>
        </row>
        <row r="220">
          <cell r="C220">
            <v>39662</v>
          </cell>
          <cell r="E220">
            <v>10.5</v>
          </cell>
          <cell r="J220">
            <v>8.4</v>
          </cell>
          <cell r="K220">
            <v>13.8</v>
          </cell>
        </row>
        <row r="221">
          <cell r="C221">
            <v>39693</v>
          </cell>
          <cell r="E221">
            <v>10.5</v>
          </cell>
          <cell r="J221">
            <v>8.54</v>
          </cell>
          <cell r="K221">
            <v>13.91</v>
          </cell>
        </row>
        <row r="222">
          <cell r="C222">
            <v>39723</v>
          </cell>
          <cell r="E222">
            <v>10.5</v>
          </cell>
          <cell r="J222">
            <v>8.7</v>
          </cell>
          <cell r="K222">
            <v>13.99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thly indices"/>
    </sheetNames>
    <sheetDataSet>
      <sheetData sheetId="0">
        <row r="2">
          <cell r="D2" t="str">
            <v>NSX Local index (RHS)</v>
          </cell>
        </row>
        <row r="144">
          <cell r="B144">
            <v>39386</v>
          </cell>
          <cell r="C144">
            <v>1016</v>
          </cell>
          <cell r="D144">
            <v>129</v>
          </cell>
        </row>
        <row r="145">
          <cell r="B145">
            <v>39416</v>
          </cell>
          <cell r="C145">
            <v>996</v>
          </cell>
          <cell r="D145">
            <v>132</v>
          </cell>
        </row>
        <row r="146">
          <cell r="B146">
            <v>39447</v>
          </cell>
          <cell r="C146">
            <v>929</v>
          </cell>
          <cell r="D146">
            <v>133</v>
          </cell>
        </row>
        <row r="147">
          <cell r="B147">
            <v>39478</v>
          </cell>
          <cell r="C147">
            <v>837</v>
          </cell>
          <cell r="D147">
            <v>136</v>
          </cell>
        </row>
        <row r="148">
          <cell r="B148">
            <v>39507</v>
          </cell>
          <cell r="C148">
            <v>988</v>
          </cell>
          <cell r="D148">
            <v>137</v>
          </cell>
        </row>
        <row r="149">
          <cell r="B149">
            <v>39538</v>
          </cell>
          <cell r="C149">
            <v>939</v>
          </cell>
          <cell r="D149">
            <v>139</v>
          </cell>
        </row>
        <row r="150">
          <cell r="B150">
            <v>39568</v>
          </cell>
          <cell r="C150">
            <v>963.6</v>
          </cell>
          <cell r="D150">
            <v>139.78</v>
          </cell>
        </row>
        <row r="151">
          <cell r="B151">
            <v>39599</v>
          </cell>
          <cell r="C151">
            <v>961.2</v>
          </cell>
          <cell r="D151">
            <v>140.29</v>
          </cell>
        </row>
        <row r="152">
          <cell r="B152">
            <v>39629</v>
          </cell>
          <cell r="C152">
            <v>956.37</v>
          </cell>
          <cell r="D152">
            <v>143.91</v>
          </cell>
        </row>
        <row r="153">
          <cell r="B153">
            <v>39660</v>
          </cell>
          <cell r="C153">
            <v>845.9</v>
          </cell>
          <cell r="D153">
            <v>147.9</v>
          </cell>
        </row>
        <row r="154">
          <cell r="B154">
            <v>39691</v>
          </cell>
          <cell r="C154">
            <v>829.84</v>
          </cell>
          <cell r="D154">
            <v>146.49</v>
          </cell>
        </row>
        <row r="155">
          <cell r="B155">
            <v>39721</v>
          </cell>
          <cell r="C155">
            <v>671.3</v>
          </cell>
          <cell r="D155">
            <v>148.94</v>
          </cell>
        </row>
        <row r="156">
          <cell r="B156">
            <v>39752</v>
          </cell>
          <cell r="C156">
            <v>576</v>
          </cell>
          <cell r="D156">
            <v>155.8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lation Old"/>
      <sheetName val="Inflation CPIX -NCPI"/>
    </sheetNames>
    <sheetDataSet>
      <sheetData sheetId="1">
        <row r="5">
          <cell r="C5" t="str">
            <v>RSA CPIX</v>
          </cell>
          <cell r="D5" t="str">
            <v>NCPI</v>
          </cell>
        </row>
        <row r="38">
          <cell r="B38">
            <v>39363</v>
          </cell>
          <cell r="C38">
            <v>7.3</v>
          </cell>
          <cell r="D38">
            <v>6.6</v>
          </cell>
        </row>
        <row r="39">
          <cell r="B39">
            <v>39395</v>
          </cell>
          <cell r="C39">
            <v>7.9</v>
          </cell>
          <cell r="D39">
            <v>6.9</v>
          </cell>
        </row>
        <row r="40">
          <cell r="B40">
            <v>39426</v>
          </cell>
          <cell r="C40">
            <v>8.6</v>
          </cell>
          <cell r="D40">
            <v>7.1</v>
          </cell>
        </row>
        <row r="41">
          <cell r="B41">
            <v>39458</v>
          </cell>
          <cell r="C41">
            <v>8.8</v>
          </cell>
          <cell r="D41">
            <v>7.8</v>
          </cell>
        </row>
        <row r="42">
          <cell r="B42">
            <v>39490</v>
          </cell>
          <cell r="C42">
            <v>9.4</v>
          </cell>
          <cell r="D42">
            <v>7.9</v>
          </cell>
        </row>
        <row r="43">
          <cell r="B43">
            <v>39520</v>
          </cell>
          <cell r="C43">
            <v>10.1</v>
          </cell>
          <cell r="D43">
            <v>8.4</v>
          </cell>
        </row>
        <row r="44">
          <cell r="B44">
            <v>39552</v>
          </cell>
          <cell r="C44">
            <v>10.4</v>
          </cell>
          <cell r="D44">
            <v>9.3</v>
          </cell>
        </row>
        <row r="45">
          <cell r="B45">
            <v>39583</v>
          </cell>
          <cell r="C45">
            <v>10.9</v>
          </cell>
          <cell r="D45">
            <v>9.7</v>
          </cell>
        </row>
        <row r="46">
          <cell r="B46">
            <v>39615</v>
          </cell>
          <cell r="C46">
            <v>11.6</v>
          </cell>
          <cell r="D46">
            <v>10.3</v>
          </cell>
        </row>
        <row r="47">
          <cell r="B47">
            <v>39646</v>
          </cell>
          <cell r="C47">
            <v>13</v>
          </cell>
          <cell r="D47">
            <v>11.9</v>
          </cell>
        </row>
        <row r="48">
          <cell r="B48">
            <v>39678</v>
          </cell>
          <cell r="C48">
            <v>13.6</v>
          </cell>
          <cell r="D48">
            <v>12</v>
          </cell>
        </row>
        <row r="49">
          <cell r="B49">
            <v>39710</v>
          </cell>
          <cell r="C49">
            <v>13</v>
          </cell>
          <cell r="D49">
            <v>12</v>
          </cell>
        </row>
        <row r="50">
          <cell r="B50">
            <v>39741</v>
          </cell>
          <cell r="C50">
            <v>12.4</v>
          </cell>
          <cell r="D5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20"/>
  <sheetViews>
    <sheetView tabSelected="1" zoomScalePageLayoutView="0" workbookViewId="0" topLeftCell="A14">
      <selection activeCell="A1" sqref="A1:A20"/>
    </sheetView>
  </sheetViews>
  <sheetFormatPr defaultColWidth="9.140625" defaultRowHeight="12"/>
  <cols>
    <col min="1" max="1" width="113.28125" style="0" bestFit="1" customWidth="1"/>
  </cols>
  <sheetData>
    <row r="1" ht="9.75">
      <c r="A1" t="s">
        <v>107</v>
      </c>
    </row>
    <row r="2" ht="36">
      <c r="A2" s="25"/>
    </row>
    <row r="3" ht="36">
      <c r="A3" s="25"/>
    </row>
    <row r="4" ht="32.25">
      <c r="A4" s="26"/>
    </row>
    <row r="5" ht="36">
      <c r="A5" s="25"/>
    </row>
    <row r="6" ht="32.25">
      <c r="A6" s="26"/>
    </row>
    <row r="7" ht="36">
      <c r="A7" s="27"/>
    </row>
    <row r="8" ht="36">
      <c r="A8" s="27"/>
    </row>
    <row r="9" ht="33">
      <c r="A9" s="104"/>
    </row>
    <row r="11" ht="39">
      <c r="A11" s="28"/>
    </row>
    <row r="12" ht="39">
      <c r="A12" s="28"/>
    </row>
    <row r="13" ht="39">
      <c r="A13" s="28" t="s">
        <v>47</v>
      </c>
    </row>
    <row r="14" ht="39">
      <c r="A14" s="28"/>
    </row>
    <row r="15" ht="39">
      <c r="A15" s="28" t="s">
        <v>48</v>
      </c>
    </row>
    <row r="16" ht="39">
      <c r="A16" s="28"/>
    </row>
    <row r="17" ht="39">
      <c r="A17" s="28" t="s">
        <v>49</v>
      </c>
    </row>
    <row r="18" ht="39">
      <c r="A18" s="28"/>
    </row>
    <row r="19" ht="39">
      <c r="A19" s="30">
        <v>39749</v>
      </c>
    </row>
    <row r="20" ht="39">
      <c r="A20" s="29"/>
    </row>
  </sheetData>
  <sheetProtection/>
  <printOptions/>
  <pageMargins left="0.75" right="0.75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N62"/>
  <sheetViews>
    <sheetView zoomScalePageLayoutView="0" workbookViewId="0" topLeftCell="B1">
      <selection activeCell="B2" sqref="B2:K60"/>
    </sheetView>
  </sheetViews>
  <sheetFormatPr defaultColWidth="9.140625" defaultRowHeight="12"/>
  <cols>
    <col min="2" max="2" width="50.8515625" style="0" customWidth="1"/>
    <col min="3" max="4" width="9.7109375" style="0" customWidth="1"/>
    <col min="5" max="5" width="11.140625" style="0" customWidth="1"/>
    <col min="6" max="6" width="9.8515625" style="0" customWidth="1"/>
    <col min="7" max="10" width="9.28125" style="0" customWidth="1"/>
    <col min="11" max="11" width="9.140625" style="0" customWidth="1"/>
  </cols>
  <sheetData>
    <row r="1" ht="10.5" thickBot="1"/>
    <row r="2" spans="2:11" ht="9.75">
      <c r="B2" s="285" t="s">
        <v>78</v>
      </c>
      <c r="C2" s="286"/>
      <c r="D2" s="286"/>
      <c r="E2" s="286"/>
      <c r="F2" s="286"/>
      <c r="G2" s="286"/>
      <c r="H2" s="286"/>
      <c r="I2" s="286"/>
      <c r="J2" s="286"/>
      <c r="K2" s="287"/>
    </row>
    <row r="3" spans="2:11" ht="9.75">
      <c r="B3" s="288" t="s">
        <v>129</v>
      </c>
      <c r="C3" s="289"/>
      <c r="D3" s="289"/>
      <c r="E3" s="289"/>
      <c r="F3" s="289"/>
      <c r="G3" s="289"/>
      <c r="H3" s="289"/>
      <c r="I3" s="289"/>
      <c r="J3" s="289"/>
      <c r="K3" s="290"/>
    </row>
    <row r="4" spans="2:11" ht="9.75">
      <c r="B4" s="113"/>
      <c r="C4" s="23"/>
      <c r="D4" s="23"/>
      <c r="E4" s="23"/>
      <c r="F4" s="278" t="s">
        <v>118</v>
      </c>
      <c r="G4" s="284"/>
      <c r="H4" s="182" t="s">
        <v>148</v>
      </c>
      <c r="I4" s="281" t="s">
        <v>149</v>
      </c>
      <c r="J4" s="282"/>
      <c r="K4" s="283"/>
    </row>
    <row r="5" spans="2:11" ht="9.75">
      <c r="B5" s="114"/>
      <c r="C5" s="12">
        <v>39383</v>
      </c>
      <c r="D5" s="12">
        <v>39720</v>
      </c>
      <c r="E5" s="12">
        <v>39749</v>
      </c>
      <c r="F5" s="12" t="s">
        <v>121</v>
      </c>
      <c r="G5" s="102" t="s">
        <v>120</v>
      </c>
      <c r="H5" s="102" t="s">
        <v>150</v>
      </c>
      <c r="I5" s="12">
        <v>39661</v>
      </c>
      <c r="J5" s="12">
        <v>39692</v>
      </c>
      <c r="K5" s="229">
        <v>39722</v>
      </c>
    </row>
    <row r="6" spans="2:11" ht="9.75">
      <c r="B6" s="115"/>
      <c r="C6" s="193"/>
      <c r="D6" s="193"/>
      <c r="E6" s="193"/>
      <c r="F6" s="194"/>
      <c r="G6" s="194"/>
      <c r="H6" s="194"/>
      <c r="I6" s="190"/>
      <c r="J6" s="190"/>
      <c r="K6" s="230"/>
    </row>
    <row r="7" spans="2:14" ht="9.75">
      <c r="B7" s="116" t="s">
        <v>1</v>
      </c>
      <c r="C7" s="188">
        <v>7265.073806675529</v>
      </c>
      <c r="D7" s="188">
        <v>12578.666066883874</v>
      </c>
      <c r="E7" s="188">
        <v>16517.990429532914</v>
      </c>
      <c r="F7" s="188">
        <v>3939.3243626490403</v>
      </c>
      <c r="G7" s="188">
        <v>9252.916622857385</v>
      </c>
      <c r="H7" s="188">
        <v>31.31750490634444</v>
      </c>
      <c r="I7" s="188">
        <v>39.563242355083325</v>
      </c>
      <c r="J7" s="188">
        <v>60.74034854101653</v>
      </c>
      <c r="K7" s="231">
        <v>127.36163278004584</v>
      </c>
      <c r="N7" s="56"/>
    </row>
    <row r="8" spans="2:11" ht="9.75">
      <c r="B8" s="116" t="s">
        <v>75</v>
      </c>
      <c r="C8" s="188">
        <v>30383.264759569996</v>
      </c>
      <c r="D8" s="188">
        <v>31208.780691969507</v>
      </c>
      <c r="E8" s="188">
        <v>29701.147708164885</v>
      </c>
      <c r="F8" s="196">
        <v>-1507.6329838046222</v>
      </c>
      <c r="G8" s="196">
        <v>-682.1170514051119</v>
      </c>
      <c r="H8" s="188">
        <v>-4.830797456283062</v>
      </c>
      <c r="I8" s="188">
        <v>3.949836172091259</v>
      </c>
      <c r="J8" s="188">
        <v>3.2734437172182496</v>
      </c>
      <c r="K8" s="231">
        <v>-2.2450419887489637</v>
      </c>
    </row>
    <row r="9" spans="2:11" ht="9.75">
      <c r="B9" s="118" t="s">
        <v>143</v>
      </c>
      <c r="C9" s="189">
        <v>-2145.56189383</v>
      </c>
      <c r="D9" s="189">
        <v>-4283.0033029805</v>
      </c>
      <c r="E9" s="189">
        <v>-5836.12692793512</v>
      </c>
      <c r="F9" s="192">
        <v>-1553.12362495462</v>
      </c>
      <c r="G9" s="192">
        <v>-3690.56503410512</v>
      </c>
      <c r="H9" s="189">
        <v>36.26248954498393</v>
      </c>
      <c r="I9" s="189">
        <v>163.6197030919292</v>
      </c>
      <c r="J9" s="189">
        <v>264.28095568685274</v>
      </c>
      <c r="K9" s="232">
        <v>172.00925523137278</v>
      </c>
    </row>
    <row r="10" spans="2:11" ht="9.75">
      <c r="B10" s="118" t="s">
        <v>156</v>
      </c>
      <c r="C10" s="189">
        <v>32528.826653399996</v>
      </c>
      <c r="D10" s="189">
        <v>35491.783994950005</v>
      </c>
      <c r="E10" s="189">
        <v>35537.2746361</v>
      </c>
      <c r="F10" s="192">
        <v>45.49064114999783</v>
      </c>
      <c r="G10" s="192">
        <v>3008.447982700007</v>
      </c>
      <c r="H10" s="189">
        <v>0.12817231491229217</v>
      </c>
      <c r="I10" s="189">
        <v>12.979256548132568</v>
      </c>
      <c r="J10" s="189">
        <v>13.048072700400315</v>
      </c>
      <c r="K10" s="232">
        <v>9.248559792074618</v>
      </c>
    </row>
    <row r="11" spans="2:11" ht="9.75">
      <c r="B11" s="119" t="s">
        <v>82</v>
      </c>
      <c r="C11" s="189">
        <v>2893.57790411</v>
      </c>
      <c r="D11" s="189">
        <v>3028.88303276</v>
      </c>
      <c r="E11" s="189">
        <v>2634.9635329599996</v>
      </c>
      <c r="F11" s="192">
        <v>-393.91949980000027</v>
      </c>
      <c r="G11" s="192">
        <v>-258.61437115000035</v>
      </c>
      <c r="H11" s="189">
        <v>-13.005437831022817</v>
      </c>
      <c r="I11" s="189">
        <v>25.345275384806932</v>
      </c>
      <c r="J11" s="189">
        <v>25.882721015412823</v>
      </c>
      <c r="K11" s="232">
        <v>-8.937529236129016</v>
      </c>
    </row>
    <row r="12" spans="2:11" ht="9.75">
      <c r="B12" s="119" t="s">
        <v>83</v>
      </c>
      <c r="C12" s="189">
        <v>21.682</v>
      </c>
      <c r="D12" s="189">
        <v>67.23609904</v>
      </c>
      <c r="E12" s="189">
        <v>89.68171382</v>
      </c>
      <c r="F12" s="192">
        <v>22.44561478</v>
      </c>
      <c r="G12" s="192">
        <v>67.99971382</v>
      </c>
      <c r="H12" s="189">
        <v>33.383279369980535</v>
      </c>
      <c r="I12" s="189">
        <v>49.532369417693744</v>
      </c>
      <c r="J12" s="189">
        <v>40.861684069387415</v>
      </c>
      <c r="K12" s="232">
        <v>313.62288451249884</v>
      </c>
    </row>
    <row r="13" spans="2:11" ht="9.75">
      <c r="B13" s="119" t="s">
        <v>141</v>
      </c>
      <c r="C13" s="189">
        <v>205.031</v>
      </c>
      <c r="D13" s="189">
        <v>454.07150500999995</v>
      </c>
      <c r="E13" s="189">
        <v>484.97809409</v>
      </c>
      <c r="F13" s="192">
        <v>30.90658908000006</v>
      </c>
      <c r="G13" s="192">
        <v>279.94709409</v>
      </c>
      <c r="H13" s="189">
        <v>6.806546708831555</v>
      </c>
      <c r="I13" s="189">
        <v>271.00692060932363</v>
      </c>
      <c r="J13" s="189">
        <v>243.76959330284808</v>
      </c>
      <c r="K13" s="232">
        <v>136.53891074520436</v>
      </c>
    </row>
    <row r="14" spans="2:11" ht="9.75">
      <c r="B14" s="119" t="s">
        <v>142</v>
      </c>
      <c r="C14" s="189">
        <v>9907.26547875</v>
      </c>
      <c r="D14" s="189">
        <v>10871.555476439999</v>
      </c>
      <c r="E14" s="189">
        <v>10978.490238930002</v>
      </c>
      <c r="F14" s="192">
        <v>106.93476249000378</v>
      </c>
      <c r="G14" s="192">
        <v>1071.2247601800027</v>
      </c>
      <c r="H14" s="189">
        <v>0.9836197103693634</v>
      </c>
      <c r="I14" s="189">
        <v>13.154855083774475</v>
      </c>
      <c r="J14" s="189">
        <v>13.857979710733126</v>
      </c>
      <c r="K14" s="232">
        <v>10.812516960181018</v>
      </c>
    </row>
    <row r="15" spans="2:14" ht="9.75">
      <c r="B15" s="119" t="s">
        <v>84</v>
      </c>
      <c r="C15" s="189">
        <v>19501.270270539997</v>
      </c>
      <c r="D15" s="189">
        <v>21065.1848817</v>
      </c>
      <c r="E15" s="189">
        <v>21344.3080563</v>
      </c>
      <c r="F15" s="192">
        <v>279.1231746000012</v>
      </c>
      <c r="G15" s="192">
        <v>1843.0377857600033</v>
      </c>
      <c r="H15" s="189">
        <v>1.325044979037827</v>
      </c>
      <c r="I15" s="189">
        <v>9.780200852082688</v>
      </c>
      <c r="J15" s="189">
        <v>9.366913079117944</v>
      </c>
      <c r="K15" s="232">
        <v>9.450860175730336</v>
      </c>
      <c r="L15" s="53"/>
      <c r="M15" s="53"/>
      <c r="N15" s="56"/>
    </row>
    <row r="16" spans="2:14" ht="9.75">
      <c r="B16" s="119" t="s">
        <v>161</v>
      </c>
      <c r="C16" s="189">
        <v>0</v>
      </c>
      <c r="D16" s="189">
        <v>4.853</v>
      </c>
      <c r="E16" s="189">
        <v>4.853</v>
      </c>
      <c r="F16" s="192">
        <v>0</v>
      </c>
      <c r="G16" s="192">
        <v>4.853</v>
      </c>
      <c r="H16" s="189">
        <v>0</v>
      </c>
      <c r="I16" s="189">
        <v>0</v>
      </c>
      <c r="J16" s="189">
        <v>0</v>
      </c>
      <c r="K16" s="232">
        <v>0</v>
      </c>
      <c r="L16" s="53"/>
      <c r="M16" s="53"/>
      <c r="N16" s="56"/>
    </row>
    <row r="17" spans="2:11" ht="9.75">
      <c r="B17" s="116" t="s">
        <v>45</v>
      </c>
      <c r="C17" s="188">
        <v>-12656.36969329019</v>
      </c>
      <c r="D17" s="188">
        <v>-14798.196417506026</v>
      </c>
      <c r="E17" s="188">
        <v>-17043.2059092285</v>
      </c>
      <c r="F17" s="196">
        <v>-2245.009491722476</v>
      </c>
      <c r="G17" s="196">
        <v>-4386.836215938312</v>
      </c>
      <c r="H17" s="188">
        <v>15.170831825604548</v>
      </c>
      <c r="I17" s="188">
        <v>9.627597523696597</v>
      </c>
      <c r="J17" s="188">
        <v>19.882769222541686</v>
      </c>
      <c r="K17" s="231">
        <v>34.66109415454264</v>
      </c>
    </row>
    <row r="18" spans="2:11" ht="10.5" thickBot="1">
      <c r="B18" s="120" t="s">
        <v>52</v>
      </c>
      <c r="C18" s="191">
        <v>24991.968872955338</v>
      </c>
      <c r="D18" s="191">
        <v>28989.250341347353</v>
      </c>
      <c r="E18" s="191">
        <v>29175.932228469293</v>
      </c>
      <c r="F18" s="195">
        <v>186.68188712194024</v>
      </c>
      <c r="G18" s="195">
        <v>4183.963355513955</v>
      </c>
      <c r="H18" s="191">
        <v>0.6439693504446231</v>
      </c>
      <c r="I18" s="191">
        <v>12.979826484115087</v>
      </c>
      <c r="J18" s="191">
        <v>12.793874116750636</v>
      </c>
      <c r="K18" s="233">
        <v>16.74104321346901</v>
      </c>
    </row>
    <row r="19" spans="2:13" ht="9.75">
      <c r="B19" s="183"/>
      <c r="C19" s="35"/>
      <c r="D19" s="35"/>
      <c r="E19" s="35"/>
      <c r="F19" s="35"/>
      <c r="G19" s="35"/>
      <c r="H19" s="35"/>
      <c r="I19" s="35"/>
      <c r="J19" s="35"/>
      <c r="K19" s="35"/>
      <c r="M19" s="53"/>
    </row>
    <row r="20" spans="2:13" ht="9.75">
      <c r="B20" s="149"/>
      <c r="C20" s="35"/>
      <c r="D20" s="35"/>
      <c r="E20" s="35"/>
      <c r="F20" s="35"/>
      <c r="G20" s="35"/>
      <c r="H20" s="35"/>
      <c r="I20" s="35"/>
      <c r="J20" s="35"/>
      <c r="K20" s="35"/>
      <c r="M20" s="53"/>
    </row>
    <row r="21" spans="2:13" ht="10.5" thickBot="1">
      <c r="B21" s="149"/>
      <c r="C21" s="35"/>
      <c r="D21" s="35"/>
      <c r="E21" s="35"/>
      <c r="F21" s="35"/>
      <c r="G21" s="35"/>
      <c r="H21" s="35"/>
      <c r="I21" s="35"/>
      <c r="J21" s="35"/>
      <c r="K21" s="35"/>
      <c r="M21" s="53"/>
    </row>
    <row r="22" spans="2:11" ht="9.75">
      <c r="B22" s="285" t="s">
        <v>154</v>
      </c>
      <c r="C22" s="286"/>
      <c r="D22" s="286"/>
      <c r="E22" s="286"/>
      <c r="F22" s="286"/>
      <c r="G22" s="286"/>
      <c r="H22" s="286"/>
      <c r="I22" s="286"/>
      <c r="J22" s="286"/>
      <c r="K22" s="287"/>
    </row>
    <row r="23" spans="2:11" ht="9.75">
      <c r="B23" s="274" t="s">
        <v>128</v>
      </c>
      <c r="C23" s="275"/>
      <c r="D23" s="275"/>
      <c r="E23" s="275"/>
      <c r="F23" s="275"/>
      <c r="G23" s="275"/>
      <c r="H23" s="275"/>
      <c r="I23" s="276"/>
      <c r="J23" s="276"/>
      <c r="K23" s="277"/>
    </row>
    <row r="24" spans="2:11" ht="9.75">
      <c r="B24" s="113"/>
      <c r="C24" s="23"/>
      <c r="D24" s="23"/>
      <c r="E24" s="23"/>
      <c r="F24" s="278" t="s">
        <v>118</v>
      </c>
      <c r="G24" s="284"/>
      <c r="H24" s="182" t="s">
        <v>147</v>
      </c>
      <c r="I24" s="278" t="s">
        <v>149</v>
      </c>
      <c r="J24" s="279"/>
      <c r="K24" s="280"/>
    </row>
    <row r="25" spans="2:11" ht="9.75">
      <c r="B25" s="114"/>
      <c r="C25" s="12">
        <f>C5</f>
        <v>39383</v>
      </c>
      <c r="D25" s="12">
        <f>D5</f>
        <v>39720</v>
      </c>
      <c r="E25" s="12">
        <f>E5</f>
        <v>39749</v>
      </c>
      <c r="F25" s="12" t="s">
        <v>121</v>
      </c>
      <c r="G25" s="102" t="s">
        <v>120</v>
      </c>
      <c r="H25" s="102" t="s">
        <v>150</v>
      </c>
      <c r="I25" s="12">
        <f>I5</f>
        <v>39661</v>
      </c>
      <c r="J25" s="12">
        <f>J5</f>
        <v>39692</v>
      </c>
      <c r="K25" s="229">
        <f>K5</f>
        <v>39722</v>
      </c>
    </row>
    <row r="26" spans="2:11" ht="9.75">
      <c r="B26" s="122"/>
      <c r="C26" s="36"/>
      <c r="D26" s="36"/>
      <c r="E26" s="36"/>
      <c r="F26" s="36"/>
      <c r="G26" s="36"/>
      <c r="H26" s="36"/>
      <c r="I26" s="36"/>
      <c r="J26" s="36"/>
      <c r="K26" s="123"/>
    </row>
    <row r="27" spans="2:11" ht="9.75">
      <c r="B27" s="116" t="s">
        <v>52</v>
      </c>
      <c r="C27" s="205">
        <v>24992.01576222</v>
      </c>
      <c r="D27" s="205">
        <v>28989.25402354372</v>
      </c>
      <c r="E27" s="205">
        <v>29175.939920890236</v>
      </c>
      <c r="F27" s="205">
        <v>186.68589734651687</v>
      </c>
      <c r="G27" s="205">
        <v>4183.924158670237</v>
      </c>
      <c r="H27" s="205">
        <v>0.6439831021346714</v>
      </c>
      <c r="I27" s="205">
        <v>12.979826484115087</v>
      </c>
      <c r="J27" s="205">
        <v>12.793874116750636</v>
      </c>
      <c r="K27" s="234">
        <v>16.74104321346901</v>
      </c>
    </row>
    <row r="28" spans="2:12" ht="9.75">
      <c r="B28" s="118" t="s">
        <v>53</v>
      </c>
      <c r="C28" s="206">
        <v>806.54482616</v>
      </c>
      <c r="D28" s="206">
        <v>1076.3807224800003</v>
      </c>
      <c r="E28" s="206">
        <v>1234.2519171000001</v>
      </c>
      <c r="F28" s="206">
        <v>157.87119461999987</v>
      </c>
      <c r="G28" s="206">
        <v>427.70709094000017</v>
      </c>
      <c r="H28" s="206">
        <v>14.666854517448236</v>
      </c>
      <c r="I28" s="206">
        <v>19.971701185915116</v>
      </c>
      <c r="J28" s="206">
        <v>24.893774101317767</v>
      </c>
      <c r="K28" s="235">
        <v>53.02954988581787</v>
      </c>
      <c r="L28" s="53"/>
    </row>
    <row r="29" spans="2:11" ht="9.75">
      <c r="B29" s="118" t="s">
        <v>54</v>
      </c>
      <c r="C29" s="206">
        <v>14269.21974257</v>
      </c>
      <c r="D29" s="206">
        <v>17977.01469410192</v>
      </c>
      <c r="E29" s="206">
        <v>16394.431309235202</v>
      </c>
      <c r="F29" s="206">
        <v>-1582.583384866717</v>
      </c>
      <c r="G29" s="206">
        <v>2125.2115666652026</v>
      </c>
      <c r="H29" s="206">
        <v>-8.80337148183979</v>
      </c>
      <c r="I29" s="206">
        <v>18.23395203520186</v>
      </c>
      <c r="J29" s="206">
        <v>25.071025329672004</v>
      </c>
      <c r="K29" s="235">
        <v>14.893677475054679</v>
      </c>
    </row>
    <row r="30" spans="2:11" ht="9.75">
      <c r="B30" s="118" t="s">
        <v>55</v>
      </c>
      <c r="C30" s="206">
        <v>9910.26060888</v>
      </c>
      <c r="D30" s="206">
        <v>9931.934615739998</v>
      </c>
      <c r="E30" s="206">
        <v>11543.32579344</v>
      </c>
      <c r="F30" s="206">
        <v>1611.391177700003</v>
      </c>
      <c r="G30" s="206">
        <v>1633.0651845600005</v>
      </c>
      <c r="H30" s="206">
        <v>16.22434339374619</v>
      </c>
      <c r="I30" s="206">
        <v>3.5822321444113125</v>
      </c>
      <c r="J30" s="206">
        <v>-5.047875633531151</v>
      </c>
      <c r="K30" s="235">
        <v>16.478529162963753</v>
      </c>
    </row>
    <row r="31" spans="2:11" ht="10.5" thickBot="1">
      <c r="B31" s="124" t="s">
        <v>112</v>
      </c>
      <c r="C31" s="236">
        <v>5.99058461</v>
      </c>
      <c r="D31" s="236">
        <v>3.923991221803279</v>
      </c>
      <c r="E31" s="236">
        <v>3.9309011150360655</v>
      </c>
      <c r="F31" s="236">
        <v>0.006909893232786679</v>
      </c>
      <c r="G31" s="236">
        <v>-2.0596834949639344</v>
      </c>
      <c r="H31" s="236">
        <v>0.17609349364474935</v>
      </c>
      <c r="I31" s="236">
        <v>-33.128983950182715</v>
      </c>
      <c r="J31" s="236">
        <v>-33.128983950182715</v>
      </c>
      <c r="K31" s="237">
        <v>-34.382011590750814</v>
      </c>
    </row>
    <row r="32" spans="2:11" ht="9.75">
      <c r="B32" s="4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 ht="9.75">
      <c r="B33" s="43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10.5" thickBot="1">
      <c r="B34" s="149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9.75">
      <c r="B35" s="285" t="s">
        <v>154</v>
      </c>
      <c r="C35" s="286"/>
      <c r="D35" s="286"/>
      <c r="E35" s="286"/>
      <c r="F35" s="286"/>
      <c r="G35" s="286"/>
      <c r="H35" s="286"/>
      <c r="I35" s="286"/>
      <c r="J35" s="286"/>
      <c r="K35" s="287"/>
    </row>
    <row r="36" spans="2:11" ht="9.75">
      <c r="B36" s="274" t="s">
        <v>138</v>
      </c>
      <c r="C36" s="275"/>
      <c r="D36" s="275"/>
      <c r="E36" s="275"/>
      <c r="F36" s="275"/>
      <c r="G36" s="275"/>
      <c r="H36" s="275"/>
      <c r="I36" s="276"/>
      <c r="J36" s="276"/>
      <c r="K36" s="277"/>
    </row>
    <row r="37" spans="2:11" ht="9.75">
      <c r="B37" s="113"/>
      <c r="C37" s="23"/>
      <c r="D37" s="23"/>
      <c r="E37" s="23"/>
      <c r="F37" s="278" t="s">
        <v>118</v>
      </c>
      <c r="G37" s="284"/>
      <c r="H37" s="182" t="s">
        <v>148</v>
      </c>
      <c r="I37" s="281" t="s">
        <v>149</v>
      </c>
      <c r="J37" s="282"/>
      <c r="K37" s="283"/>
    </row>
    <row r="38" spans="2:11" ht="9.75">
      <c r="B38" s="114"/>
      <c r="C38" s="12">
        <f>C25</f>
        <v>39383</v>
      </c>
      <c r="D38" s="12">
        <f>D25</f>
        <v>39720</v>
      </c>
      <c r="E38" s="12">
        <f>E25</f>
        <v>39749</v>
      </c>
      <c r="F38" s="12" t="s">
        <v>121</v>
      </c>
      <c r="G38" s="102" t="s">
        <v>120</v>
      </c>
      <c r="H38" s="102" t="s">
        <v>150</v>
      </c>
      <c r="I38" s="12">
        <f>I25</f>
        <v>39661</v>
      </c>
      <c r="J38" s="12">
        <f>J25</f>
        <v>39692</v>
      </c>
      <c r="K38" s="229">
        <f>K25</f>
        <v>39722</v>
      </c>
    </row>
    <row r="39" spans="2:11" ht="9.75">
      <c r="B39" s="125"/>
      <c r="C39" s="37"/>
      <c r="D39" s="132"/>
      <c r="E39" s="132"/>
      <c r="F39" s="37"/>
      <c r="G39" s="38"/>
      <c r="H39" s="38"/>
      <c r="I39" s="38"/>
      <c r="J39" s="38"/>
      <c r="K39" s="126"/>
    </row>
    <row r="40" spans="2:11" ht="9.75">
      <c r="B40" s="127" t="s">
        <v>155</v>
      </c>
      <c r="C40" s="207">
        <v>29430.22604514</v>
      </c>
      <c r="D40" s="207">
        <v>31949.28249943</v>
      </c>
      <c r="E40" s="207">
        <v>32347.40265485</v>
      </c>
      <c r="F40" s="207">
        <v>23.20866226000362</v>
      </c>
      <c r="G40" s="207">
        <v>2917.176609710001</v>
      </c>
      <c r="H40" s="207">
        <v>1.2461004575833723</v>
      </c>
      <c r="I40" s="207">
        <v>10.909842465789454</v>
      </c>
      <c r="J40" s="207">
        <v>10.815669729308851</v>
      </c>
      <c r="K40" s="238">
        <v>9.912178741799838</v>
      </c>
    </row>
    <row r="41" spans="2:11" ht="9.75">
      <c r="B41" s="258" t="s">
        <v>50</v>
      </c>
      <c r="C41" s="259">
        <v>0</v>
      </c>
      <c r="D41" s="259">
        <v>849.4070733200001</v>
      </c>
      <c r="E41" s="259">
        <v>474.49558016000003</v>
      </c>
      <c r="F41" s="259">
        <v>-374.9114931600001</v>
      </c>
      <c r="G41" s="259">
        <v>474.49558016000003</v>
      </c>
      <c r="H41" s="259">
        <v>-44.13802344435604</v>
      </c>
      <c r="I41" s="259">
        <v>0</v>
      </c>
      <c r="J41" s="259">
        <v>0</v>
      </c>
      <c r="K41" s="260">
        <v>0</v>
      </c>
    </row>
    <row r="42" spans="2:11" ht="9.75">
      <c r="B42" s="128" t="s">
        <v>139</v>
      </c>
      <c r="C42" s="223">
        <v>9898.00447875</v>
      </c>
      <c r="D42" s="223">
        <v>10842.976706379999</v>
      </c>
      <c r="E42" s="223">
        <v>10962.022119420002</v>
      </c>
      <c r="F42" s="223">
        <v>119.04541304000304</v>
      </c>
      <c r="G42" s="223">
        <v>1064.017640670003</v>
      </c>
      <c r="H42" s="223">
        <v>1.0979034287693046</v>
      </c>
      <c r="I42" s="223">
        <v>13.106188704834976</v>
      </c>
      <c r="J42" s="223">
        <v>13.667527787427524</v>
      </c>
      <c r="K42" s="239">
        <v>10.749819753611334</v>
      </c>
    </row>
    <row r="43" spans="2:11" ht="9.75">
      <c r="B43" s="129" t="s">
        <v>89</v>
      </c>
      <c r="C43" s="209">
        <v>7832.30692655</v>
      </c>
      <c r="D43" s="209">
        <v>8314.3065278</v>
      </c>
      <c r="E43" s="209">
        <v>8315.72009386</v>
      </c>
      <c r="F43" s="208">
        <v>1.4135660600004485</v>
      </c>
      <c r="G43" s="208">
        <v>483.41316731000006</v>
      </c>
      <c r="H43" s="208">
        <v>0.017001611081742064</v>
      </c>
      <c r="I43" s="208">
        <v>13.14765202235495</v>
      </c>
      <c r="J43" s="208">
        <v>12.424096007671404</v>
      </c>
      <c r="K43" s="240">
        <v>6.172040649624222</v>
      </c>
    </row>
    <row r="44" spans="2:11" ht="9.75">
      <c r="B44" s="130" t="s">
        <v>90</v>
      </c>
      <c r="C44" s="210">
        <v>2112.35545369</v>
      </c>
      <c r="D44" s="210">
        <v>2406.1795566200008</v>
      </c>
      <c r="E44" s="210">
        <v>2520.31495655</v>
      </c>
      <c r="F44" s="208">
        <v>114.13539992999904</v>
      </c>
      <c r="G44" s="208">
        <v>407.9595028599997</v>
      </c>
      <c r="H44" s="208">
        <v>4.743428212411831</v>
      </c>
      <c r="I44" s="208">
        <v>13.05973716832085</v>
      </c>
      <c r="J44" s="208">
        <v>13.251690220276146</v>
      </c>
      <c r="K44" s="240">
        <v>19.3130139223183</v>
      </c>
    </row>
    <row r="45" spans="2:11" ht="9.75">
      <c r="B45" s="130" t="s">
        <v>91</v>
      </c>
      <c r="C45" s="210">
        <v>1594.67964557</v>
      </c>
      <c r="D45" s="210">
        <v>1730.4862591</v>
      </c>
      <c r="E45" s="210">
        <v>1728.7664024</v>
      </c>
      <c r="F45" s="208">
        <v>-1.7198567000000367</v>
      </c>
      <c r="G45" s="208">
        <v>134.08675683</v>
      </c>
      <c r="H45" s="208">
        <v>-0.0993857472693547</v>
      </c>
      <c r="I45" s="208">
        <v>38.05478625796823</v>
      </c>
      <c r="J45" s="208">
        <v>20.602418375395402</v>
      </c>
      <c r="K45" s="240">
        <v>8.408382034754847</v>
      </c>
    </row>
    <row r="46" spans="2:11" ht="9.75">
      <c r="B46" s="130" t="s">
        <v>92</v>
      </c>
      <c r="C46" s="210">
        <v>4125.27182729</v>
      </c>
      <c r="D46" s="210">
        <v>4177.6407120799995</v>
      </c>
      <c r="E46" s="210">
        <v>4066.63873491</v>
      </c>
      <c r="F46" s="208">
        <v>-111.00197716999946</v>
      </c>
      <c r="G46" s="208">
        <v>-58.63309238000011</v>
      </c>
      <c r="H46" s="208">
        <v>-2.657049392711726</v>
      </c>
      <c r="I46" s="208">
        <v>4.874079470418113</v>
      </c>
      <c r="J46" s="208">
        <v>8.906577712458464</v>
      </c>
      <c r="K46" s="240">
        <v>-1.4213146390044784</v>
      </c>
    </row>
    <row r="47" spans="2:11" ht="9.75">
      <c r="B47" s="129" t="s">
        <v>93</v>
      </c>
      <c r="C47" s="210">
        <v>1278.8546867199998</v>
      </c>
      <c r="D47" s="210">
        <v>1629.62757864</v>
      </c>
      <c r="E47" s="210">
        <v>1672.8993692699999</v>
      </c>
      <c r="F47" s="208">
        <v>43.27179062999994</v>
      </c>
      <c r="G47" s="208">
        <v>394.04468255000006</v>
      </c>
      <c r="H47" s="208">
        <v>2.6553177669042807</v>
      </c>
      <c r="I47" s="208">
        <v>9.986315599093022</v>
      </c>
      <c r="J47" s="208">
        <v>20.41700653141323</v>
      </c>
      <c r="K47" s="240">
        <v>30.8123109405529</v>
      </c>
    </row>
    <row r="48" spans="2:11" ht="9.75">
      <c r="B48" s="129" t="s">
        <v>94</v>
      </c>
      <c r="C48" s="210">
        <v>46.05086548</v>
      </c>
      <c r="D48" s="210">
        <v>66.71894975</v>
      </c>
      <c r="E48" s="210">
        <v>58.314051809999995</v>
      </c>
      <c r="F48" s="208">
        <v>-8.404897939999998</v>
      </c>
      <c r="G48" s="208">
        <v>12.263186329999996</v>
      </c>
      <c r="H48" s="208">
        <v>-12.597467393437197</v>
      </c>
      <c r="I48" s="208">
        <v>30.207039376361845</v>
      </c>
      <c r="J48" s="208">
        <v>42.25829662230407</v>
      </c>
      <c r="K48" s="240">
        <v>26.629654409700354</v>
      </c>
    </row>
    <row r="49" spans="2:12" ht="9.75">
      <c r="B49" s="129" t="s">
        <v>95</v>
      </c>
      <c r="C49" s="210">
        <v>740.792</v>
      </c>
      <c r="D49" s="210">
        <v>832.32365019</v>
      </c>
      <c r="E49" s="210">
        <v>915.08860448</v>
      </c>
      <c r="F49" s="208">
        <v>82.76495428999999</v>
      </c>
      <c r="G49" s="208">
        <v>174.29660447999993</v>
      </c>
      <c r="H49" s="208">
        <v>9.94384267119007</v>
      </c>
      <c r="I49" s="208">
        <v>17.678398552787634</v>
      </c>
      <c r="J49" s="208">
        <v>11.94684191774298</v>
      </c>
      <c r="K49" s="240">
        <v>23.528413438590047</v>
      </c>
      <c r="L49" s="51"/>
    </row>
    <row r="50" spans="2:13" ht="9.75">
      <c r="B50" s="128" t="s">
        <v>140</v>
      </c>
      <c r="C50" s="222">
        <v>19483.35456639</v>
      </c>
      <c r="D50" s="222">
        <v>21040.17479305</v>
      </c>
      <c r="E50" s="222">
        <v>21318.47453543</v>
      </c>
      <c r="F50" s="223">
        <v>278.2997423800007</v>
      </c>
      <c r="G50" s="223">
        <v>1835.119969039999</v>
      </c>
      <c r="H50" s="223">
        <v>1.3227064181611685</v>
      </c>
      <c r="I50" s="223">
        <v>9.754123779562152</v>
      </c>
      <c r="J50" s="223">
        <v>9.338768515954854</v>
      </c>
      <c r="K50" s="239">
        <v>9.418911731995582</v>
      </c>
      <c r="L50" s="51"/>
      <c r="M50" s="51"/>
    </row>
    <row r="51" spans="2:11" ht="9.75">
      <c r="B51" s="129" t="s">
        <v>96</v>
      </c>
      <c r="C51" s="211">
        <v>15679.52784055</v>
      </c>
      <c r="D51" s="211">
        <v>17219.3193571</v>
      </c>
      <c r="E51" s="211">
        <v>17500.33264733</v>
      </c>
      <c r="F51" s="208">
        <v>281.01329022999926</v>
      </c>
      <c r="G51" s="208">
        <v>1820.804806780001</v>
      </c>
      <c r="H51" s="208">
        <v>1.6319651456730182</v>
      </c>
      <c r="I51" s="208">
        <v>11.043626611763901</v>
      </c>
      <c r="J51" s="208">
        <v>10.906089547664234</v>
      </c>
      <c r="K51" s="240">
        <v>11.61262523525155</v>
      </c>
    </row>
    <row r="52" spans="2:11" ht="9.75">
      <c r="B52" s="130" t="s">
        <v>90</v>
      </c>
      <c r="C52" s="210">
        <v>12719.070916379998</v>
      </c>
      <c r="D52" s="210">
        <v>13970.57157461</v>
      </c>
      <c r="E52" s="210">
        <v>14115.71080628</v>
      </c>
      <c r="F52" s="208">
        <v>145.1392316700003</v>
      </c>
      <c r="G52" s="208">
        <v>1396.6398899000014</v>
      </c>
      <c r="H52" s="208">
        <v>1.0388925814157461</v>
      </c>
      <c r="I52" s="208">
        <v>12.51636550257369</v>
      </c>
      <c r="J52" s="208">
        <v>10.854833305027611</v>
      </c>
      <c r="K52" s="240">
        <v>10.980675389594442</v>
      </c>
    </row>
    <row r="53" spans="2:11" ht="9.75">
      <c r="B53" s="130" t="s">
        <v>97</v>
      </c>
      <c r="C53" s="210">
        <v>1825.3734573600004</v>
      </c>
      <c r="D53" s="210">
        <v>2019.51933318</v>
      </c>
      <c r="E53" s="210">
        <v>2174.03007202</v>
      </c>
      <c r="F53" s="208">
        <v>154.5107388399997</v>
      </c>
      <c r="G53" s="208">
        <v>348.6566146599994</v>
      </c>
      <c r="H53" s="208">
        <v>7.6508670306563555</v>
      </c>
      <c r="I53" s="208">
        <v>5.717551691689149</v>
      </c>
      <c r="J53" s="208">
        <v>10.329124828950365</v>
      </c>
      <c r="K53" s="240">
        <v>19.100563408227387</v>
      </c>
    </row>
    <row r="54" spans="2:12" ht="9.75">
      <c r="B54" s="130" t="s">
        <v>92</v>
      </c>
      <c r="C54" s="210">
        <v>1135.08346681</v>
      </c>
      <c r="D54" s="210">
        <v>1229.22844931</v>
      </c>
      <c r="E54" s="210">
        <v>1210.59176903</v>
      </c>
      <c r="F54" s="208">
        <v>-18.636680280000064</v>
      </c>
      <c r="G54" s="208">
        <v>75.50830222000013</v>
      </c>
      <c r="H54" s="208">
        <v>-1.5161282909178802</v>
      </c>
      <c r="I54" s="208">
        <v>4.2499398003946975</v>
      </c>
      <c r="J54" s="208">
        <v>12.463326579036682</v>
      </c>
      <c r="K54" s="240">
        <v>6.652224653769823</v>
      </c>
      <c r="L54" s="51"/>
    </row>
    <row r="55" spans="2:11" ht="9.75">
      <c r="B55" s="129" t="s">
        <v>93</v>
      </c>
      <c r="C55" s="210">
        <v>3362.49997851</v>
      </c>
      <c r="D55" s="210">
        <v>3245.5459509400002</v>
      </c>
      <c r="E55" s="210">
        <v>3243.4987146500002</v>
      </c>
      <c r="F55" s="208">
        <v>-2.0472362900000007</v>
      </c>
      <c r="G55" s="208">
        <v>-119.00126385999965</v>
      </c>
      <c r="H55" s="208">
        <v>-0.06307833322794472</v>
      </c>
      <c r="I55" s="208">
        <v>0.6896122232150637</v>
      </c>
      <c r="J55" s="208">
        <v>-1.062885307380923</v>
      </c>
      <c r="K55" s="240">
        <v>-3.53907106678204</v>
      </c>
    </row>
    <row r="56" spans="2:11" ht="9.75">
      <c r="B56" s="129" t="s">
        <v>94</v>
      </c>
      <c r="C56" s="210">
        <v>80.26274733</v>
      </c>
      <c r="D56" s="210">
        <v>107.66937687</v>
      </c>
      <c r="E56" s="210">
        <v>102.79103545999999</v>
      </c>
      <c r="F56" s="208">
        <v>-4.878341410000004</v>
      </c>
      <c r="G56" s="208">
        <v>22.528288129999993</v>
      </c>
      <c r="H56" s="208">
        <v>-4.53085320247568</v>
      </c>
      <c r="I56" s="208">
        <v>44.42965709800977</v>
      </c>
      <c r="J56" s="208">
        <v>43.99740639309733</v>
      </c>
      <c r="K56" s="240">
        <v>28.068174688034308</v>
      </c>
    </row>
    <row r="57" spans="2:11" ht="9.75">
      <c r="B57" s="129" t="s">
        <v>95</v>
      </c>
      <c r="C57" s="210">
        <v>361.064</v>
      </c>
      <c r="D57" s="210">
        <v>467.64010814</v>
      </c>
      <c r="E57" s="210">
        <v>471.8521379900001</v>
      </c>
      <c r="F57" s="208">
        <v>4.212029850000079</v>
      </c>
      <c r="G57" s="208">
        <v>110.78813799000005</v>
      </c>
      <c r="H57" s="208">
        <v>0.9006990154786081</v>
      </c>
      <c r="I57" s="208">
        <v>29.026704247271052</v>
      </c>
      <c r="J57" s="208">
        <v>29.22340194813269</v>
      </c>
      <c r="K57" s="240">
        <v>30.683795113885637</v>
      </c>
    </row>
    <row r="58" spans="2:11" ht="10.5" thickBot="1">
      <c r="B58" s="131" t="s">
        <v>98</v>
      </c>
      <c r="C58" s="224">
        <v>48.867</v>
      </c>
      <c r="D58" s="224">
        <v>66.13100000000001</v>
      </c>
      <c r="E58" s="224">
        <v>66.90599999999999</v>
      </c>
      <c r="F58" s="225">
        <v>0.7749999999999773</v>
      </c>
      <c r="G58" s="225">
        <v>18.038999999999994</v>
      </c>
      <c r="H58" s="225">
        <v>1.1719163478549803</v>
      </c>
      <c r="I58" s="225">
        <v>36.073895166233406</v>
      </c>
      <c r="J58" s="225">
        <v>35.77587976840639</v>
      </c>
      <c r="K58" s="241">
        <v>36.9144821658788</v>
      </c>
    </row>
    <row r="59" ht="9.75">
      <c r="B59" s="59" t="s">
        <v>137</v>
      </c>
    </row>
    <row r="62" spans="2:11" ht="11.25">
      <c r="B62" s="272"/>
      <c r="C62" s="273"/>
      <c r="D62" s="273"/>
      <c r="E62" s="273"/>
      <c r="F62" s="273"/>
      <c r="G62" s="273"/>
      <c r="H62" s="273"/>
      <c r="I62" s="273"/>
      <c r="J62" s="273"/>
      <c r="K62" s="273"/>
    </row>
  </sheetData>
  <sheetProtection/>
  <mergeCells count="13">
    <mergeCell ref="B2:K2"/>
    <mergeCell ref="B22:K22"/>
    <mergeCell ref="F4:G4"/>
    <mergeCell ref="F24:G24"/>
    <mergeCell ref="I4:K4"/>
    <mergeCell ref="B3:K3"/>
    <mergeCell ref="B23:K23"/>
    <mergeCell ref="B62:K62"/>
    <mergeCell ref="B36:K36"/>
    <mergeCell ref="I24:K24"/>
    <mergeCell ref="I37:K37"/>
    <mergeCell ref="F37:G37"/>
    <mergeCell ref="B35:K35"/>
  </mergeCells>
  <printOptions/>
  <pageMargins left="0.75" right="0.75" top="1" bottom="1" header="0.5" footer="0.5"/>
  <pageSetup fitToHeight="1" fitToWidth="1"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Q57"/>
  <sheetViews>
    <sheetView showGridLines="0" zoomScale="70" zoomScaleNormal="70" workbookViewId="0" topLeftCell="A1">
      <selection activeCell="A3" sqref="A3:P53"/>
    </sheetView>
  </sheetViews>
  <sheetFormatPr defaultColWidth="9.28125" defaultRowHeight="12"/>
  <cols>
    <col min="1" max="16384" width="9.28125" style="1" customWidth="1"/>
  </cols>
  <sheetData>
    <row r="2" spans="1:14" ht="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7" ht="15">
      <c r="A4" s="254"/>
      <c r="B4" s="291" t="s">
        <v>117</v>
      </c>
      <c r="C4" s="292"/>
      <c r="D4" s="292"/>
      <c r="E4" s="292"/>
      <c r="F4" s="292"/>
      <c r="G4" s="292"/>
      <c r="H4" s="292"/>
      <c r="I4" s="292"/>
      <c r="J4" s="292"/>
      <c r="K4" s="292"/>
      <c r="L4" s="293"/>
      <c r="M4" s="293"/>
      <c r="N4" s="254"/>
      <c r="O4" s="255"/>
      <c r="P4" s="255"/>
      <c r="Q4" s="255"/>
    </row>
    <row r="5" spans="1:17" ht="15">
      <c r="A5" s="254"/>
      <c r="B5" s="146"/>
      <c r="C5" s="147"/>
      <c r="D5" s="147"/>
      <c r="E5" s="147"/>
      <c r="F5" s="147"/>
      <c r="G5" s="147"/>
      <c r="H5" s="147"/>
      <c r="I5" s="147"/>
      <c r="J5" s="147"/>
      <c r="K5" s="147"/>
      <c r="L5" s="148"/>
      <c r="M5" s="148"/>
      <c r="N5" s="254"/>
      <c r="O5" s="255"/>
      <c r="P5" s="255"/>
      <c r="Q5" s="255"/>
    </row>
    <row r="6" spans="1:17" ht="15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5"/>
      <c r="P6" s="255"/>
      <c r="Q6" s="255"/>
    </row>
    <row r="7" spans="1:17" ht="15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55"/>
      <c r="Q7" s="255"/>
    </row>
    <row r="8" spans="1:17" ht="15">
      <c r="A8" s="254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5"/>
      <c r="P8" s="255"/>
      <c r="Q8" s="255"/>
    </row>
    <row r="9" spans="1:17" ht="15">
      <c r="A9" s="254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5"/>
      <c r="P9" s="255"/>
      <c r="Q9" s="255"/>
    </row>
    <row r="10" spans="1:17" ht="15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5"/>
      <c r="P10" s="255"/>
      <c r="Q10" s="255"/>
    </row>
    <row r="11" spans="1:17" ht="15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5"/>
      <c r="P11" s="255"/>
      <c r="Q11" s="255"/>
    </row>
    <row r="12" spans="1:17" ht="15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5"/>
      <c r="Q12" s="255"/>
    </row>
    <row r="13" spans="1:17" ht="15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5"/>
      <c r="P13" s="255"/>
      <c r="Q13" s="255"/>
    </row>
    <row r="14" spans="1:17" ht="15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5"/>
      <c r="P14" s="255"/>
      <c r="Q14" s="255"/>
    </row>
    <row r="15" spans="1:17" ht="15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5"/>
      <c r="P15" s="255"/>
      <c r="Q15" s="255"/>
    </row>
    <row r="16" spans="1:17" ht="15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5"/>
      <c r="P16" s="255"/>
      <c r="Q16" s="255"/>
    </row>
    <row r="17" spans="1:17" ht="15">
      <c r="A17" s="254"/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5"/>
      <c r="P17" s="255"/>
      <c r="Q17" s="255"/>
    </row>
    <row r="18" spans="1:17" ht="15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5"/>
      <c r="P18" s="255"/>
      <c r="Q18" s="255"/>
    </row>
    <row r="19" spans="1:17" ht="15">
      <c r="A19" s="254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  <c r="P19" s="255"/>
      <c r="Q19" s="255"/>
    </row>
    <row r="20" spans="1:17" ht="15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5"/>
      <c r="P20" s="255"/>
      <c r="Q20" s="255"/>
    </row>
    <row r="21" spans="1:17" ht="15">
      <c r="A21" s="255"/>
      <c r="B21" s="255"/>
      <c r="C21" s="255"/>
      <c r="D21" s="254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</row>
    <row r="22" spans="1:17" ht="1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</row>
    <row r="23" spans="1:17" ht="15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7" ht="15">
      <c r="A24" s="255"/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</row>
    <row r="25" spans="1:17" ht="15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3"/>
      <c r="L25" s="293"/>
      <c r="M25" s="255"/>
      <c r="N25" s="255"/>
      <c r="O25" s="255"/>
      <c r="P25" s="255"/>
      <c r="Q25" s="255"/>
    </row>
    <row r="26" spans="1:17" ht="15">
      <c r="A26" s="255"/>
      <c r="B26" s="256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</row>
    <row r="27" spans="1:17" ht="15">
      <c r="A27" s="255"/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5"/>
      <c r="N27" s="255"/>
      <c r="O27" s="255"/>
      <c r="P27" s="255"/>
      <c r="Q27" s="255"/>
    </row>
    <row r="28" spans="1:17" ht="15.75">
      <c r="A28" s="255"/>
      <c r="B28" s="294" t="s">
        <v>160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55"/>
      <c r="O28" s="255"/>
      <c r="P28" s="255"/>
      <c r="Q28" s="255"/>
    </row>
    <row r="29" spans="1:17" ht="15">
      <c r="A29" s="25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5"/>
      <c r="N29" s="255"/>
      <c r="O29" s="255"/>
      <c r="P29" s="255"/>
      <c r="Q29" s="255"/>
    </row>
    <row r="30" spans="1:17" ht="15">
      <c r="A30" s="25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5"/>
      <c r="N30" s="255"/>
      <c r="O30" s="255"/>
      <c r="P30" s="255"/>
      <c r="Q30" s="255"/>
    </row>
    <row r="31" spans="1:17" ht="15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5"/>
      <c r="N31" s="255"/>
      <c r="O31" s="255"/>
      <c r="P31" s="255"/>
      <c r="Q31" s="255"/>
    </row>
    <row r="32" spans="1:17" ht="15">
      <c r="A32" s="255"/>
      <c r="B32" s="255"/>
      <c r="C32" s="255"/>
      <c r="D32" s="255"/>
      <c r="E32" s="255"/>
      <c r="F32" s="256"/>
      <c r="G32" s="256"/>
      <c r="H32" s="256"/>
      <c r="I32" s="256"/>
      <c r="J32" s="256"/>
      <c r="K32" s="256"/>
      <c r="L32" s="256"/>
      <c r="M32" s="255"/>
      <c r="N32" s="255"/>
      <c r="O32" s="255"/>
      <c r="P32" s="255"/>
      <c r="Q32" s="255"/>
    </row>
    <row r="33" spans="1:17" ht="1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</row>
    <row r="34" spans="1:17" ht="15">
      <c r="A34" s="255"/>
      <c r="B34" s="256"/>
      <c r="C34" s="256"/>
      <c r="D34" s="256"/>
      <c r="E34" s="256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</row>
    <row r="35" spans="1:17" ht="1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</row>
    <row r="36" spans="1:17" ht="1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</row>
    <row r="37" spans="1:17" ht="15">
      <c r="A37" s="255"/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</row>
    <row r="38" spans="1:17" ht="15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</row>
    <row r="39" spans="1:17" ht="15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</row>
    <row r="40" spans="1:17" ht="15">
      <c r="A40" s="255"/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</row>
    <row r="41" spans="1:17" ht="15">
      <c r="A41" s="255"/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</row>
    <row r="42" spans="1:17" ht="15">
      <c r="A42" s="255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</row>
    <row r="43" spans="1:17" ht="1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</row>
    <row r="44" spans="1:17" ht="15">
      <c r="A44" s="255"/>
      <c r="B44" s="255"/>
      <c r="C44" s="257"/>
      <c r="D44" s="257"/>
      <c r="E44" s="257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</row>
    <row r="45" spans="1:17" ht="15">
      <c r="A45" s="255"/>
      <c r="B45" s="255"/>
      <c r="C45" s="257"/>
      <c r="D45" s="257"/>
      <c r="E45" s="257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</row>
    <row r="46" spans="1:17" ht="15">
      <c r="A46" s="255"/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</row>
    <row r="47" spans="1:17" ht="15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</row>
    <row r="48" spans="1:17" ht="15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</row>
    <row r="49" spans="1:17" ht="15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</row>
    <row r="50" spans="1:17" ht="15">
      <c r="A50" s="255"/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</row>
    <row r="51" spans="1:17" ht="15">
      <c r="A51" s="255"/>
      <c r="B51" s="269" t="s">
        <v>85</v>
      </c>
      <c r="C51" s="16"/>
      <c r="D51" s="270"/>
      <c r="E51" s="270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</row>
    <row r="52" spans="1:17" ht="15">
      <c r="A52" s="255"/>
      <c r="B52" s="271" t="s">
        <v>136</v>
      </c>
      <c r="C52" s="16"/>
      <c r="D52" s="270"/>
      <c r="E52" s="270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</row>
    <row r="53" spans="1:17" ht="15">
      <c r="A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</row>
    <row r="54" spans="1:17" ht="15">
      <c r="A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</row>
    <row r="55" spans="1:17" ht="1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</row>
    <row r="56" spans="1:17" ht="15">
      <c r="A56" s="255"/>
      <c r="B56" s="257"/>
      <c r="C56" s="257"/>
      <c r="D56" s="257"/>
      <c r="E56" s="257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</row>
    <row r="57" spans="2:5" ht="15">
      <c r="B57" s="181"/>
      <c r="C57" s="105"/>
      <c r="D57" s="105"/>
      <c r="E57" s="105"/>
    </row>
  </sheetData>
  <sheetProtection/>
  <mergeCells count="3">
    <mergeCell ref="B4:M4"/>
    <mergeCell ref="A25:L25"/>
    <mergeCell ref="B28:M28"/>
  </mergeCells>
  <printOptions horizontalCentered="1"/>
  <pageMargins left="0.43" right="0.29" top="1" bottom="1" header="0.5" footer="0.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showGridLines="0" zoomScale="90" zoomScaleNormal="90" zoomScalePageLayoutView="0" workbookViewId="0" topLeftCell="A1">
      <selection activeCell="A2" sqref="A2:P62"/>
    </sheetView>
  </sheetViews>
  <sheetFormatPr defaultColWidth="9.140625" defaultRowHeight="12"/>
  <sheetData>
    <row r="2" spans="2:13" ht="12.75">
      <c r="B2" s="296" t="s">
        <v>135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26" ht="12">
      <c r="A26" s="184"/>
    </row>
    <row r="29" ht="12">
      <c r="B29" s="105"/>
    </row>
    <row r="30" spans="2:13" ht="12.75">
      <c r="B30" s="29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</row>
    <row r="32" spans="2:13" ht="12.75">
      <c r="B32" s="296" t="s">
        <v>152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</row>
    <row r="61" ht="9.75">
      <c r="B61" s="105" t="s">
        <v>123</v>
      </c>
    </row>
  </sheetData>
  <sheetProtection/>
  <mergeCells count="3">
    <mergeCell ref="B2:M2"/>
    <mergeCell ref="B32:M32"/>
    <mergeCell ref="B30:M30"/>
  </mergeCells>
  <printOptions/>
  <pageMargins left="0.7" right="0.7" top="0.75" bottom="0.75" header="0.3" footer="0.3"/>
  <pageSetup fitToHeight="1" fitToWidth="1"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showGridLines="0" zoomScale="80" zoomScaleNormal="80" zoomScaleSheetLayoutView="75" zoomScalePageLayoutView="0" workbookViewId="0" topLeftCell="A1">
      <selection activeCell="A1" sqref="A1:C87"/>
    </sheetView>
  </sheetViews>
  <sheetFormatPr defaultColWidth="9.28125" defaultRowHeight="12"/>
  <cols>
    <col min="1" max="1" width="82.8515625" style="2" customWidth="1"/>
    <col min="2" max="2" width="12.00390625" style="2" customWidth="1"/>
    <col min="3" max="3" width="12.421875" style="2" customWidth="1"/>
    <col min="4" max="4" width="24.140625" style="2" customWidth="1"/>
    <col min="5" max="6" width="9.28125" style="2" customWidth="1"/>
    <col min="7" max="7" width="17.28125" style="2" bestFit="1" customWidth="1"/>
    <col min="8" max="8" width="9.28125" style="2" customWidth="1"/>
    <col min="9" max="9" width="16.140625" style="2" bestFit="1" customWidth="1"/>
    <col min="10" max="16384" width="9.28125" style="2" customWidth="1"/>
  </cols>
  <sheetData>
    <row r="1" ht="12" thickBot="1">
      <c r="A1" s="22" t="s">
        <v>46</v>
      </c>
    </row>
    <row r="2" spans="1:4" ht="12" thickBot="1">
      <c r="A2" s="3" t="s">
        <v>2</v>
      </c>
      <c r="B2" s="48">
        <v>39694</v>
      </c>
      <c r="C2" s="48">
        <v>39725</v>
      </c>
      <c r="D2" s="4"/>
    </row>
    <row r="3" spans="1:4" ht="11.25">
      <c r="A3" s="5"/>
      <c r="B3" s="33"/>
      <c r="C3" s="33"/>
      <c r="D3" s="4"/>
    </row>
    <row r="4" spans="1:4" ht="11.25">
      <c r="A4" s="5" t="s">
        <v>3</v>
      </c>
      <c r="B4" s="34">
        <v>10.5</v>
      </c>
      <c r="C4" s="34">
        <v>10.5</v>
      </c>
      <c r="D4" s="4"/>
    </row>
    <row r="5" spans="1:4" ht="11.25">
      <c r="A5" s="5"/>
      <c r="B5" s="34"/>
      <c r="C5" s="34"/>
      <c r="D5" s="4"/>
    </row>
    <row r="6" spans="1:4" ht="11.25">
      <c r="A6" s="5" t="s">
        <v>41</v>
      </c>
      <c r="B6" s="34">
        <v>15.25</v>
      </c>
      <c r="C6" s="34">
        <v>15.25</v>
      </c>
      <c r="D6" s="4"/>
    </row>
    <row r="7" spans="1:4" ht="11.25">
      <c r="A7" s="5"/>
      <c r="B7" s="34"/>
      <c r="C7" s="34"/>
      <c r="D7" s="4"/>
    </row>
    <row r="8" spans="1:4" ht="11.25">
      <c r="A8" s="5" t="s">
        <v>4</v>
      </c>
      <c r="B8" s="34">
        <v>15.25</v>
      </c>
      <c r="C8" s="34">
        <v>15.25</v>
      </c>
      <c r="D8" s="4"/>
    </row>
    <row r="9" spans="1:4" ht="11.25">
      <c r="A9" s="5"/>
      <c r="B9" s="34"/>
      <c r="C9" s="34"/>
      <c r="D9" s="4"/>
    </row>
    <row r="10" spans="1:4" ht="11.25">
      <c r="A10" s="5" t="s">
        <v>108</v>
      </c>
      <c r="B10" s="52">
        <v>13.91</v>
      </c>
      <c r="C10" s="52">
        <v>13.99</v>
      </c>
      <c r="D10" s="4"/>
    </row>
    <row r="11" spans="1:4" ht="11.25">
      <c r="A11" s="5"/>
      <c r="B11" s="34"/>
      <c r="C11" s="34"/>
      <c r="D11" s="4"/>
    </row>
    <row r="12" spans="1:4" ht="11.25">
      <c r="A12" s="5" t="s">
        <v>5</v>
      </c>
      <c r="B12" s="52">
        <v>8.54</v>
      </c>
      <c r="C12" s="52">
        <v>8.7</v>
      </c>
      <c r="D12" s="4"/>
    </row>
    <row r="13" spans="1:4" ht="11.25">
      <c r="A13" s="5"/>
      <c r="B13" s="34"/>
      <c r="C13" s="34"/>
      <c r="D13" s="4"/>
    </row>
    <row r="14" spans="1:4" ht="12">
      <c r="A14" s="6" t="s">
        <v>6</v>
      </c>
      <c r="B14" s="34"/>
      <c r="C14" s="34"/>
      <c r="D14" s="4"/>
    </row>
    <row r="15" spans="1:3" ht="11.25">
      <c r="A15" s="5"/>
      <c r="B15" s="34"/>
      <c r="C15" s="34"/>
    </row>
    <row r="16" spans="1:3" ht="11.25">
      <c r="A16" s="5" t="s">
        <v>7</v>
      </c>
      <c r="B16" s="52">
        <v>10.21</v>
      </c>
      <c r="C16" s="52">
        <v>10.49</v>
      </c>
    </row>
    <row r="17" spans="1:3" ht="11.25">
      <c r="A17" s="5" t="s">
        <v>40</v>
      </c>
      <c r="B17" s="52">
        <v>10.89</v>
      </c>
      <c r="C17" s="52">
        <v>11.22</v>
      </c>
    </row>
    <row r="18" spans="1:3" ht="11.25">
      <c r="A18" s="5" t="s">
        <v>8</v>
      </c>
      <c r="B18" s="52">
        <v>155</v>
      </c>
      <c r="C18" s="52">
        <v>150</v>
      </c>
    </row>
    <row r="19" spans="1:3" ht="11.25">
      <c r="A19" s="5" t="s">
        <v>9</v>
      </c>
      <c r="B19" s="52">
        <v>200</v>
      </c>
      <c r="C19" s="52">
        <v>150</v>
      </c>
    </row>
    <row r="20" spans="1:3" ht="11.25">
      <c r="A20" s="5"/>
      <c r="B20" s="34"/>
      <c r="C20" s="34"/>
    </row>
    <row r="21" spans="1:3" ht="12">
      <c r="A21" s="6" t="s">
        <v>10</v>
      </c>
      <c r="B21" s="34"/>
      <c r="C21" s="34"/>
    </row>
    <row r="22" spans="1:3" ht="11.25">
      <c r="A22" s="5"/>
      <c r="B22" s="34"/>
      <c r="C22" s="34"/>
    </row>
    <row r="23" spans="1:3" ht="11.25">
      <c r="A23" s="5" t="s">
        <v>7</v>
      </c>
      <c r="B23" s="52">
        <v>10.82</v>
      </c>
      <c r="C23" s="52">
        <v>10.82</v>
      </c>
    </row>
    <row r="24" spans="1:3" ht="11.25">
      <c r="A24" s="5" t="s">
        <v>39</v>
      </c>
      <c r="B24" s="52">
        <v>11.76</v>
      </c>
      <c r="C24" s="52">
        <v>11.76</v>
      </c>
    </row>
    <row r="25" spans="1:3" ht="11.25">
      <c r="A25" s="5" t="s">
        <v>8</v>
      </c>
      <c r="B25" s="52">
        <v>150</v>
      </c>
      <c r="C25" s="52">
        <v>150</v>
      </c>
    </row>
    <row r="26" spans="1:3" ht="11.25">
      <c r="A26" s="5" t="s">
        <v>9</v>
      </c>
      <c r="B26" s="52">
        <v>100</v>
      </c>
      <c r="C26" s="52">
        <v>100</v>
      </c>
    </row>
    <row r="27" spans="1:3" ht="11.25">
      <c r="A27" s="5"/>
      <c r="B27" s="34"/>
      <c r="C27" s="34"/>
    </row>
    <row r="28" spans="1:3" ht="12">
      <c r="A28" s="6" t="s">
        <v>42</v>
      </c>
      <c r="B28" s="34"/>
      <c r="C28" s="34"/>
    </row>
    <row r="29" spans="1:3" ht="11.25">
      <c r="A29" s="5"/>
      <c r="B29" s="50"/>
      <c r="C29" s="50"/>
    </row>
    <row r="30" spans="1:3" ht="11.25">
      <c r="A30" s="5" t="s">
        <v>7</v>
      </c>
      <c r="B30" s="52">
        <v>10.65</v>
      </c>
      <c r="C30" s="52">
        <v>10.63</v>
      </c>
    </row>
    <row r="31" spans="1:3" ht="11.25">
      <c r="A31" s="5" t="s">
        <v>39</v>
      </c>
      <c r="B31" s="52">
        <v>11.92</v>
      </c>
      <c r="C31" s="52">
        <v>11.85</v>
      </c>
    </row>
    <row r="32" spans="1:3" ht="11.25">
      <c r="A32" s="5" t="s">
        <v>8</v>
      </c>
      <c r="B32" s="52">
        <v>300</v>
      </c>
      <c r="C32" s="52">
        <v>100</v>
      </c>
    </row>
    <row r="33" spans="1:3" ht="11.25">
      <c r="A33" s="5" t="s">
        <v>9</v>
      </c>
      <c r="B33" s="52">
        <v>250</v>
      </c>
      <c r="C33" s="52">
        <v>50</v>
      </c>
    </row>
    <row r="34" spans="1:3" ht="11.25">
      <c r="A34" s="5"/>
      <c r="B34" s="34"/>
      <c r="C34" s="34"/>
    </row>
    <row r="35" spans="1:3" ht="11.25">
      <c r="A35" s="5"/>
      <c r="B35" s="34"/>
      <c r="C35" s="34"/>
    </row>
    <row r="36" spans="1:3" ht="11.25">
      <c r="A36" s="5"/>
      <c r="B36" s="34"/>
      <c r="C36" s="34"/>
    </row>
    <row r="37" spans="1:3" ht="12">
      <c r="A37" s="6" t="s">
        <v>43</v>
      </c>
      <c r="B37" s="185">
        <v>3435</v>
      </c>
      <c r="C37" s="185">
        <v>3435</v>
      </c>
    </row>
    <row r="38" spans="1:3" ht="11.25">
      <c r="A38" s="5"/>
      <c r="B38" s="34"/>
      <c r="C38" s="34"/>
    </row>
    <row r="39" spans="1:3" ht="11.25">
      <c r="A39" s="5"/>
      <c r="B39" s="31"/>
      <c r="C39" s="31"/>
    </row>
    <row r="40" spans="1:3" ht="12" thickBot="1">
      <c r="A40" s="5"/>
      <c r="B40" s="109"/>
      <c r="C40" s="109"/>
    </row>
    <row r="41" spans="1:3" ht="12" thickBot="1">
      <c r="A41" s="3" t="s">
        <v>11</v>
      </c>
      <c r="B41" s="48">
        <f>B2</f>
        <v>39694</v>
      </c>
      <c r="C41" s="48">
        <f>C2</f>
        <v>39725</v>
      </c>
    </row>
    <row r="42" spans="1:3" ht="11.25">
      <c r="A42" s="5"/>
      <c r="B42" s="110"/>
      <c r="C42" s="110"/>
    </row>
    <row r="43" spans="1:3" ht="12">
      <c r="A43" s="6" t="s">
        <v>12</v>
      </c>
      <c r="B43" s="31"/>
      <c r="C43" s="31"/>
    </row>
    <row r="44" spans="1:3" ht="11.25">
      <c r="A44" s="7" t="s">
        <v>87</v>
      </c>
      <c r="B44" s="31"/>
      <c r="C44" s="31"/>
    </row>
    <row r="45" spans="1:3" ht="11.25">
      <c r="A45" s="5" t="s">
        <v>13</v>
      </c>
      <c r="B45" s="49">
        <v>8.82</v>
      </c>
      <c r="C45" s="49">
        <v>8.82</v>
      </c>
    </row>
    <row r="46" spans="1:3" ht="11.25">
      <c r="A46" s="5" t="s">
        <v>8</v>
      </c>
      <c r="B46" s="49">
        <v>8</v>
      </c>
      <c r="C46" s="49">
        <v>8</v>
      </c>
    </row>
    <row r="47" spans="1:3" ht="11.25">
      <c r="A47" s="5" t="s">
        <v>9</v>
      </c>
      <c r="B47" s="49">
        <v>0</v>
      </c>
      <c r="C47" s="49">
        <v>0</v>
      </c>
    </row>
    <row r="48" spans="1:3" ht="11.25">
      <c r="A48" s="5"/>
      <c r="B48" s="34"/>
      <c r="C48" s="34"/>
    </row>
    <row r="49" spans="1:3" ht="11.25">
      <c r="A49" s="5" t="s">
        <v>14</v>
      </c>
      <c r="B49" s="185">
        <v>5805.68</v>
      </c>
      <c r="C49" s="185">
        <v>5805.68</v>
      </c>
    </row>
    <row r="50" spans="1:3" ht="12" thickBot="1">
      <c r="A50" s="5"/>
      <c r="B50" s="109"/>
      <c r="C50" s="109"/>
    </row>
    <row r="51" spans="1:3" ht="12" thickBot="1">
      <c r="A51" s="3" t="s">
        <v>15</v>
      </c>
      <c r="B51" s="48">
        <f>B41</f>
        <v>39694</v>
      </c>
      <c r="C51" s="48">
        <f>C41</f>
        <v>39725</v>
      </c>
    </row>
    <row r="52" spans="1:3" ht="11.25">
      <c r="A52" s="5"/>
      <c r="B52" s="110"/>
      <c r="C52" s="110"/>
    </row>
    <row r="53" spans="1:3" ht="12">
      <c r="A53" s="6" t="s">
        <v>16</v>
      </c>
      <c r="B53" s="31"/>
      <c r="C53" s="31"/>
    </row>
    <row r="54" spans="1:3" ht="11.25">
      <c r="A54" s="5"/>
      <c r="B54" s="31"/>
      <c r="C54" s="31"/>
    </row>
    <row r="55" spans="1:4" ht="11.25">
      <c r="A55" s="5" t="s">
        <v>17</v>
      </c>
      <c r="B55" s="185">
        <v>34.25</v>
      </c>
      <c r="C55" s="185">
        <v>40.84</v>
      </c>
      <c r="D55" s="8"/>
    </row>
    <row r="56" spans="1:9" ht="11.25">
      <c r="A56" s="5" t="s">
        <v>18</v>
      </c>
      <c r="B56" s="186">
        <v>1280.54</v>
      </c>
      <c r="C56" s="186">
        <v>1348.96</v>
      </c>
      <c r="D56" s="8"/>
      <c r="G56" s="9"/>
      <c r="I56" s="9"/>
    </row>
    <row r="57" spans="1:4" ht="11.25">
      <c r="A57" s="5" t="s">
        <v>19</v>
      </c>
      <c r="B57" s="186">
        <v>671.3</v>
      </c>
      <c r="C57" s="186">
        <v>576</v>
      </c>
      <c r="D57" s="10"/>
    </row>
    <row r="58" spans="1:4" ht="11.25">
      <c r="A58" s="5" t="s">
        <v>20</v>
      </c>
      <c r="B58" s="186">
        <v>881.26</v>
      </c>
      <c r="C58" s="186">
        <v>756.85</v>
      </c>
      <c r="D58" s="10"/>
    </row>
    <row r="59" spans="1:4" ht="11.25">
      <c r="A59" s="5" t="s">
        <v>21</v>
      </c>
      <c r="B59" s="186">
        <v>402.07</v>
      </c>
      <c r="C59" s="186">
        <v>337.11</v>
      </c>
      <c r="D59" s="10"/>
    </row>
    <row r="60" spans="1:9" ht="11.25">
      <c r="A60" s="5" t="s">
        <v>22</v>
      </c>
      <c r="B60" s="186">
        <v>422.69</v>
      </c>
      <c r="C60" s="186">
        <v>360.426</v>
      </c>
      <c r="D60" s="10"/>
      <c r="G60" s="9"/>
      <c r="I60" s="9"/>
    </row>
    <row r="61" spans="1:9" ht="11.25">
      <c r="A61" s="5" t="s">
        <v>23</v>
      </c>
      <c r="B61" s="186">
        <v>15.77</v>
      </c>
      <c r="C61" s="186">
        <v>13.96</v>
      </c>
      <c r="D61" s="10"/>
      <c r="G61" s="9"/>
      <c r="I61" s="9"/>
    </row>
    <row r="62" spans="1:3" ht="11.25">
      <c r="A62" s="5" t="s">
        <v>24</v>
      </c>
      <c r="B62" s="186">
        <v>38.27</v>
      </c>
      <c r="C62" s="186">
        <v>42.76</v>
      </c>
    </row>
    <row r="63" spans="1:3" ht="11.25">
      <c r="A63" s="5" t="s">
        <v>25</v>
      </c>
      <c r="B63" s="186">
        <v>2.48</v>
      </c>
      <c r="C63" s="186">
        <v>2.59</v>
      </c>
    </row>
    <row r="64" spans="1:3" ht="11.25">
      <c r="A64" s="5"/>
      <c r="B64" s="186"/>
      <c r="C64" s="186"/>
    </row>
    <row r="65" spans="1:3" ht="12">
      <c r="A65" s="6" t="s">
        <v>26</v>
      </c>
      <c r="B65" s="186"/>
      <c r="C65" s="186"/>
    </row>
    <row r="66" spans="1:4" ht="11.25">
      <c r="A66" s="5"/>
      <c r="B66" s="186"/>
      <c r="C66" s="186"/>
      <c r="D66" s="8"/>
    </row>
    <row r="67" spans="1:4" ht="11.25">
      <c r="A67" s="5" t="s">
        <v>17</v>
      </c>
      <c r="B67" s="186">
        <v>0.48</v>
      </c>
      <c r="C67" s="186">
        <v>1.68</v>
      </c>
      <c r="D67" s="8"/>
    </row>
    <row r="68" spans="1:4" ht="11.25">
      <c r="A68" s="5" t="s">
        <v>18</v>
      </c>
      <c r="B68" s="186">
        <v>2.69</v>
      </c>
      <c r="C68" s="186">
        <v>18.29</v>
      </c>
      <c r="D68" s="9"/>
    </row>
    <row r="69" spans="1:4" ht="11.25">
      <c r="A69" s="5" t="s">
        <v>19</v>
      </c>
      <c r="B69" s="186">
        <v>148.94</v>
      </c>
      <c r="C69" s="186">
        <v>155.8</v>
      </c>
      <c r="D69" s="9"/>
    </row>
    <row r="70" spans="1:4" ht="11.25">
      <c r="A70" s="5" t="s">
        <v>20</v>
      </c>
      <c r="B70" s="52">
        <v>5.38</v>
      </c>
      <c r="C70" s="52">
        <v>5.65</v>
      </c>
      <c r="D70" s="9"/>
    </row>
    <row r="71" spans="1:4" ht="11.25">
      <c r="A71" s="5" t="s">
        <v>21</v>
      </c>
      <c r="B71" s="34">
        <v>0</v>
      </c>
      <c r="C71" s="34">
        <v>0</v>
      </c>
      <c r="D71" s="9"/>
    </row>
    <row r="72" spans="1:4" ht="11.25">
      <c r="A72" s="5" t="s">
        <v>22</v>
      </c>
      <c r="B72" s="34">
        <v>4.196</v>
      </c>
      <c r="C72" s="34">
        <v>4.461</v>
      </c>
      <c r="D72" s="9"/>
    </row>
    <row r="73" spans="1:3" ht="11.25">
      <c r="A73" s="5" t="s">
        <v>23</v>
      </c>
      <c r="B73" s="34">
        <v>1.138</v>
      </c>
      <c r="C73" s="34">
        <v>1.146</v>
      </c>
    </row>
    <row r="74" spans="1:3" ht="11.25">
      <c r="A74" s="5" t="s">
        <v>24</v>
      </c>
      <c r="B74" s="34">
        <v>0.43</v>
      </c>
      <c r="C74" s="34">
        <v>0.43</v>
      </c>
    </row>
    <row r="75" spans="1:3" ht="11.25">
      <c r="A75" s="5" t="s">
        <v>25</v>
      </c>
      <c r="B75" s="34">
        <v>0</v>
      </c>
      <c r="C75" s="34">
        <v>0</v>
      </c>
    </row>
    <row r="76" spans="1:3" ht="11.25">
      <c r="A76" s="5"/>
      <c r="B76" s="34"/>
      <c r="C76" s="34"/>
    </row>
    <row r="77" spans="1:3" ht="12">
      <c r="A77" s="6" t="s">
        <v>157</v>
      </c>
      <c r="B77" s="34"/>
      <c r="C77" s="34"/>
    </row>
    <row r="78" spans="1:3" ht="11.25">
      <c r="A78" s="5" t="s">
        <v>158</v>
      </c>
      <c r="B78" s="34">
        <v>66.58</v>
      </c>
      <c r="C78" s="34">
        <v>50</v>
      </c>
    </row>
    <row r="79" spans="1:3" ht="11.25">
      <c r="A79" s="5" t="s">
        <v>20</v>
      </c>
      <c r="B79" s="34">
        <v>5.26</v>
      </c>
      <c r="C79" s="34">
        <v>4.32</v>
      </c>
    </row>
    <row r="80" spans="1:3" ht="12" thickBot="1">
      <c r="A80" s="5"/>
      <c r="B80" s="34"/>
      <c r="C80" s="34"/>
    </row>
    <row r="81" spans="1:3" ht="12" thickBot="1">
      <c r="A81" s="3" t="s">
        <v>86</v>
      </c>
      <c r="B81" s="48">
        <f>B51</f>
        <v>39694</v>
      </c>
      <c r="C81" s="48">
        <f>C51</f>
        <v>39725</v>
      </c>
    </row>
    <row r="82" spans="1:3" ht="11.25">
      <c r="A82" s="5"/>
      <c r="B82" s="110"/>
      <c r="C82" s="110"/>
    </row>
    <row r="83" spans="1:3" ht="11.25">
      <c r="A83" s="5" t="s">
        <v>27</v>
      </c>
      <c r="B83" s="108">
        <v>12</v>
      </c>
      <c r="C83" s="108">
        <v>12</v>
      </c>
    </row>
    <row r="84" spans="1:3" ht="11.25">
      <c r="A84" s="5" t="s">
        <v>28</v>
      </c>
      <c r="B84" s="108">
        <v>10.3</v>
      </c>
      <c r="C84" s="108">
        <v>10.8</v>
      </c>
    </row>
    <row r="85" spans="1:3" ht="12" thickBot="1">
      <c r="A85" s="11" t="s">
        <v>29</v>
      </c>
      <c r="B85" s="54">
        <v>0.5</v>
      </c>
      <c r="C85" s="54">
        <v>0.4</v>
      </c>
    </row>
    <row r="86" ht="11.25">
      <c r="A86" s="2" t="s">
        <v>114</v>
      </c>
    </row>
    <row r="87" ht="11.25">
      <c r="A87" s="2" t="s">
        <v>122</v>
      </c>
    </row>
  </sheetData>
  <sheetProtection/>
  <printOptions horizontalCentered="1"/>
  <pageMargins left="0.5" right="0.5" top="0.61" bottom="0.74" header="0.5" footer="0.5"/>
  <pageSetup fitToHeight="1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Q97"/>
  <sheetViews>
    <sheetView showGridLines="0" zoomScale="70" zoomScaleNormal="70" zoomScaleSheetLayoutView="75" zoomScalePageLayoutView="0" workbookViewId="0" topLeftCell="B1">
      <selection activeCell="B4" sqref="A4:R98"/>
    </sheetView>
  </sheetViews>
  <sheetFormatPr defaultColWidth="9.140625" defaultRowHeight="12"/>
  <cols>
    <col min="1" max="1" width="0.13671875" style="0" hidden="1" customWidth="1"/>
  </cols>
  <sheetData>
    <row r="2" spans="5:15" ht="15">
      <c r="E2" s="301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3:13" ht="21"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7" ht="21">
      <c r="A4" s="14"/>
      <c r="B4" s="14"/>
      <c r="C4" s="303" t="s">
        <v>115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14"/>
      <c r="O4" s="14"/>
      <c r="P4" s="14"/>
      <c r="Q4" s="14"/>
    </row>
    <row r="5" spans="1:17" ht="17.25">
      <c r="A5" s="14"/>
      <c r="B5" s="1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"/>
      <c r="O5" s="14"/>
      <c r="P5" s="14"/>
      <c r="Q5" s="14"/>
    </row>
    <row r="6" spans="1:17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5">
      <c r="A7" s="298"/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14"/>
      <c r="M7" s="14"/>
      <c r="N7" s="14"/>
      <c r="O7" s="14"/>
      <c r="P7" s="14"/>
      <c r="Q7" s="14"/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00"/>
      <c r="P8" s="14"/>
      <c r="Q8" s="14"/>
    </row>
    <row r="9" spans="1:17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ht="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5">
      <c r="A27" s="14"/>
      <c r="C27" s="134"/>
      <c r="D27" s="106"/>
      <c r="E27" s="10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">
      <c r="A28" s="14"/>
      <c r="B28" s="15"/>
      <c r="C28" s="99"/>
      <c r="D28" s="100"/>
      <c r="E28" s="10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">
      <c r="A29" s="14"/>
      <c r="B29" s="14"/>
      <c r="N29" s="14"/>
      <c r="O29" s="14"/>
      <c r="P29" s="14"/>
      <c r="Q29" s="14"/>
    </row>
    <row r="30" spans="1:1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1">
      <c r="A31" s="14"/>
      <c r="B31" s="15"/>
      <c r="C31" s="303" t="s">
        <v>153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14"/>
      <c r="O31" s="14"/>
      <c r="P31" s="14"/>
      <c r="Q31" s="14"/>
    </row>
    <row r="32" spans="1:1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">
      <c r="A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">
      <c r="A36" s="14"/>
      <c r="B36" s="15"/>
      <c r="D36" s="10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">
      <c r="A38" s="14"/>
      <c r="B38" s="15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2:17" ht="15">
      <c r="L39" s="14"/>
      <c r="M39" s="14"/>
      <c r="N39" s="14"/>
      <c r="O39" s="14"/>
      <c r="P39" s="14"/>
      <c r="Q39" s="14"/>
    </row>
    <row r="40" spans="1:17" ht="15">
      <c r="A40" s="14"/>
      <c r="B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">
      <c r="A42" s="14"/>
      <c r="B42" s="14"/>
      <c r="N42" s="14"/>
      <c r="O42" s="14"/>
      <c r="P42" s="14"/>
      <c r="Q42" s="14"/>
    </row>
    <row r="43" spans="1:1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14"/>
      <c r="B50" s="14"/>
      <c r="C50" s="14"/>
      <c r="O50" s="14"/>
      <c r="P50" s="14"/>
      <c r="Q50" s="14"/>
    </row>
    <row r="51" spans="1:17" ht="15">
      <c r="A51" s="14"/>
      <c r="B51" s="14"/>
      <c r="D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">
      <c r="A53" s="14"/>
      <c r="B53" s="14"/>
      <c r="C53" s="14"/>
      <c r="O53" s="14"/>
      <c r="P53" s="14"/>
      <c r="Q53" s="14"/>
    </row>
    <row r="54" spans="1:1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">
      <c r="A55" s="14"/>
      <c r="B55" s="14"/>
      <c r="C55" s="133" t="s">
        <v>110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">
      <c r="A56" s="14"/>
      <c r="B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">
      <c r="A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61" spans="3:13" ht="21">
      <c r="C61" s="299" t="s">
        <v>116</v>
      </c>
      <c r="D61" s="300"/>
      <c r="E61" s="300"/>
      <c r="F61" s="300"/>
      <c r="G61" s="300"/>
      <c r="H61" s="300"/>
      <c r="I61" s="300"/>
      <c r="J61" s="300"/>
      <c r="K61" s="300"/>
      <c r="L61" s="300"/>
      <c r="M61" s="300"/>
    </row>
    <row r="97" spans="3:6" ht="15">
      <c r="C97" s="133" t="s">
        <v>111</v>
      </c>
      <c r="D97" s="135"/>
      <c r="E97" s="135"/>
      <c r="F97" s="135"/>
    </row>
  </sheetData>
  <sheetProtection/>
  <mergeCells count="6">
    <mergeCell ref="A7:K7"/>
    <mergeCell ref="C61:M61"/>
    <mergeCell ref="E2:O2"/>
    <mergeCell ref="C4:M4"/>
    <mergeCell ref="C3:M3"/>
    <mergeCell ref="C31:M31"/>
  </mergeCells>
  <printOptions horizontalCentered="1"/>
  <pageMargins left="0.17" right="0.6" top="0.42" bottom="0.5" header="0.44" footer="0.5"/>
  <pageSetup fitToHeight="1" fitToWidth="1" horizontalDpi="600" verticalDpi="600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BS21"/>
  <sheetViews>
    <sheetView showGridLines="0" zoomScale="90" zoomScaleNormal="90" zoomScaleSheetLayoutView="75" zoomScalePageLayoutView="0" workbookViewId="0" topLeftCell="BI1">
      <selection activeCell="B2" sqref="B2:BS21"/>
    </sheetView>
  </sheetViews>
  <sheetFormatPr defaultColWidth="9.140625" defaultRowHeight="19.5" customHeight="1"/>
  <cols>
    <col min="1" max="1" width="4.7109375" style="32" customWidth="1"/>
    <col min="2" max="2" width="57.8515625" style="32" customWidth="1"/>
    <col min="3" max="7" width="9.8515625" style="32" hidden="1" customWidth="1"/>
    <col min="8" max="8" width="11.28125" style="32" hidden="1" customWidth="1"/>
    <col min="9" max="9" width="11.8515625" style="32" hidden="1" customWidth="1"/>
    <col min="10" max="11" width="9.8515625" style="32" hidden="1" customWidth="1"/>
    <col min="12" max="12" width="11.140625" style="32" hidden="1" customWidth="1"/>
    <col min="13" max="13" width="11.421875" style="32" hidden="1" customWidth="1"/>
    <col min="14" max="14" width="11.00390625" style="32" hidden="1" customWidth="1"/>
    <col min="15" max="15" width="10.140625" style="32" hidden="1" customWidth="1"/>
    <col min="16" max="16" width="9.8515625" style="32" hidden="1" customWidth="1"/>
    <col min="17" max="17" width="11.28125" style="32" hidden="1" customWidth="1"/>
    <col min="18" max="18" width="10.7109375" style="32" hidden="1" customWidth="1"/>
    <col min="19" max="19" width="11.00390625" style="32" hidden="1" customWidth="1"/>
    <col min="20" max="20" width="14.7109375" style="32" hidden="1" customWidth="1"/>
    <col min="21" max="21" width="2.00390625" style="32" hidden="1" customWidth="1"/>
    <col min="22" max="22" width="10.421875" style="32" hidden="1" customWidth="1"/>
    <col min="23" max="23" width="9.8515625" style="32" hidden="1" customWidth="1"/>
    <col min="24" max="24" width="9.421875" style="32" hidden="1" customWidth="1"/>
    <col min="25" max="25" width="11.28125" style="32" hidden="1" customWidth="1"/>
    <col min="26" max="26" width="10.421875" style="32" hidden="1" customWidth="1"/>
    <col min="27" max="27" width="10.8515625" style="32" hidden="1" customWidth="1"/>
    <col min="28" max="28" width="11.00390625" style="32" hidden="1" customWidth="1"/>
    <col min="29" max="29" width="11.7109375" style="32" hidden="1" customWidth="1"/>
    <col min="30" max="30" width="9.8515625" style="32" hidden="1" customWidth="1"/>
    <col min="31" max="31" width="10.8515625" style="32" hidden="1" customWidth="1"/>
    <col min="32" max="32" width="11.8515625" style="32" hidden="1" customWidth="1"/>
    <col min="33" max="33" width="12.140625" style="32" hidden="1" customWidth="1"/>
    <col min="34" max="34" width="11.421875" style="32" hidden="1" customWidth="1"/>
    <col min="35" max="35" width="11.140625" style="32" hidden="1" customWidth="1"/>
    <col min="36" max="36" width="10.8515625" style="32" hidden="1" customWidth="1"/>
    <col min="37" max="40" width="10.421875" style="32" hidden="1" customWidth="1"/>
    <col min="41" max="41" width="11.421875" style="32" hidden="1" customWidth="1"/>
    <col min="42" max="44" width="11.00390625" style="32" hidden="1" customWidth="1"/>
    <col min="45" max="48" width="12.7109375" style="32" hidden="1" customWidth="1"/>
    <col min="49" max="49" width="11.421875" style="32" hidden="1" customWidth="1"/>
    <col min="50" max="50" width="10.7109375" style="32" hidden="1" customWidth="1"/>
    <col min="51" max="52" width="11.8515625" style="32" hidden="1" customWidth="1"/>
    <col min="53" max="53" width="11.28125" style="32" hidden="1" customWidth="1"/>
    <col min="54" max="54" width="11.421875" style="32" hidden="1" customWidth="1"/>
    <col min="55" max="55" width="11.7109375" style="32" hidden="1" customWidth="1"/>
    <col min="56" max="56" width="12.140625" style="32" hidden="1" customWidth="1"/>
    <col min="57" max="57" width="11.8515625" style="32" hidden="1" customWidth="1"/>
    <col min="58" max="58" width="12.421875" style="32" hidden="1" customWidth="1"/>
    <col min="59" max="59" width="12.00390625" style="32" customWidth="1"/>
    <col min="60" max="60" width="11.7109375" style="32" customWidth="1"/>
    <col min="61" max="61" width="12.28125" style="32" customWidth="1"/>
    <col min="62" max="62" width="11.8515625" style="32" customWidth="1"/>
    <col min="63" max="63" width="11.7109375" style="32" customWidth="1"/>
    <col min="64" max="64" width="11.8515625" style="32" customWidth="1"/>
    <col min="65" max="65" width="12.140625" style="32" customWidth="1"/>
    <col min="66" max="66" width="11.7109375" style="32" customWidth="1"/>
    <col min="67" max="67" width="12.421875" style="32" customWidth="1"/>
    <col min="68" max="68" width="13.140625" style="32" customWidth="1"/>
    <col min="69" max="69" width="14.140625" style="32" customWidth="1"/>
    <col min="70" max="70" width="13.57421875" style="32" customWidth="1"/>
    <col min="71" max="71" width="13.7109375" style="32" customWidth="1"/>
    <col min="72" max="16384" width="9.140625" style="32" customWidth="1"/>
  </cols>
  <sheetData>
    <row r="2" spans="1:48" ht="19.5" customHeight="1">
      <c r="A2" s="149"/>
      <c r="B2" s="150" t="s">
        <v>134</v>
      </c>
      <c r="C2" s="151"/>
      <c r="D2" s="151"/>
      <c r="E2" s="151"/>
      <c r="F2" s="152"/>
      <c r="G2" s="153"/>
      <c r="H2" s="152"/>
      <c r="I2" s="153"/>
      <c r="J2" s="153"/>
      <c r="K2" s="152"/>
      <c r="L2" s="152"/>
      <c r="M2" s="153"/>
      <c r="N2" s="153"/>
      <c r="O2" s="154"/>
      <c r="P2" s="153"/>
      <c r="Q2" s="152"/>
      <c r="R2" s="153"/>
      <c r="S2" s="153"/>
      <c r="T2" s="155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</row>
    <row r="3" spans="1:62" ht="19.5" customHeight="1" thickBot="1">
      <c r="A3" s="149"/>
      <c r="B3" s="140"/>
      <c r="C3" s="140"/>
      <c r="D3" s="140"/>
      <c r="E3" s="140"/>
      <c r="F3" s="141"/>
      <c r="G3" s="141"/>
      <c r="H3" s="141"/>
      <c r="I3" s="142"/>
      <c r="J3" s="142"/>
      <c r="K3" s="141"/>
      <c r="L3" s="141"/>
      <c r="M3" s="142"/>
      <c r="N3" s="142"/>
      <c r="O3" s="143"/>
      <c r="P3" s="142"/>
      <c r="Q3" s="141"/>
      <c r="R3" s="142"/>
      <c r="S3" s="142"/>
      <c r="T3" s="144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</row>
    <row r="4" spans="1:71" ht="19.5" customHeight="1" thickBot="1">
      <c r="A4" s="149"/>
      <c r="B4" s="178"/>
      <c r="C4" s="138">
        <v>37655</v>
      </c>
      <c r="D4" s="138">
        <v>37681</v>
      </c>
      <c r="E4" s="138">
        <v>37712</v>
      </c>
      <c r="F4" s="138">
        <v>37742</v>
      </c>
      <c r="G4" s="138">
        <v>37773</v>
      </c>
      <c r="H4" s="138">
        <v>37803</v>
      </c>
      <c r="I4" s="138">
        <v>37834</v>
      </c>
      <c r="J4" s="138">
        <v>37865</v>
      </c>
      <c r="K4" s="138">
        <v>37895</v>
      </c>
      <c r="L4" s="138">
        <v>37926</v>
      </c>
      <c r="M4" s="138">
        <v>37956</v>
      </c>
      <c r="N4" s="138">
        <v>37987</v>
      </c>
      <c r="O4" s="139">
        <v>38018</v>
      </c>
      <c r="P4" s="138">
        <v>38047</v>
      </c>
      <c r="Q4" s="138">
        <v>38078</v>
      </c>
      <c r="R4" s="138">
        <v>38108</v>
      </c>
      <c r="S4" s="138">
        <v>38139</v>
      </c>
      <c r="T4" s="138">
        <v>38169</v>
      </c>
      <c r="U4" s="138">
        <v>38200</v>
      </c>
      <c r="V4" s="138">
        <v>38231</v>
      </c>
      <c r="W4" s="138">
        <v>38261</v>
      </c>
      <c r="X4" s="138">
        <v>38292</v>
      </c>
      <c r="Y4" s="138">
        <v>38322</v>
      </c>
      <c r="Z4" s="138">
        <v>38353</v>
      </c>
      <c r="AA4" s="138">
        <v>38384</v>
      </c>
      <c r="AB4" s="138">
        <v>38412</v>
      </c>
      <c r="AC4" s="138">
        <v>38443</v>
      </c>
      <c r="AD4" s="138">
        <v>38473</v>
      </c>
      <c r="AE4" s="138">
        <v>38504</v>
      </c>
      <c r="AF4" s="138">
        <v>38534</v>
      </c>
      <c r="AG4" s="138">
        <v>38565</v>
      </c>
      <c r="AH4" s="138">
        <v>38596</v>
      </c>
      <c r="AI4" s="138">
        <v>38626</v>
      </c>
      <c r="AJ4" s="138">
        <v>38657</v>
      </c>
      <c r="AK4" s="138">
        <v>38687</v>
      </c>
      <c r="AL4" s="138">
        <v>38718</v>
      </c>
      <c r="AM4" s="138">
        <v>38749</v>
      </c>
      <c r="AN4" s="138">
        <v>38777</v>
      </c>
      <c r="AO4" s="138">
        <v>38808</v>
      </c>
      <c r="AP4" s="138">
        <v>38838</v>
      </c>
      <c r="AQ4" s="138">
        <v>38869</v>
      </c>
      <c r="AR4" s="138">
        <v>38929</v>
      </c>
      <c r="AS4" s="138">
        <v>38960</v>
      </c>
      <c r="AT4" s="138">
        <v>38990</v>
      </c>
      <c r="AU4" s="138">
        <v>39021</v>
      </c>
      <c r="AV4" s="138">
        <v>39051</v>
      </c>
      <c r="AW4" s="138">
        <v>39082</v>
      </c>
      <c r="AX4" s="187">
        <v>39113</v>
      </c>
      <c r="AY4" s="187">
        <v>39141</v>
      </c>
      <c r="AZ4" s="187">
        <v>39172</v>
      </c>
      <c r="BA4" s="187">
        <v>39202</v>
      </c>
      <c r="BB4" s="187">
        <v>39233</v>
      </c>
      <c r="BC4" s="187">
        <v>39263</v>
      </c>
      <c r="BD4" s="187">
        <v>39294</v>
      </c>
      <c r="BE4" s="187">
        <v>39325</v>
      </c>
      <c r="BF4" s="187">
        <v>39355</v>
      </c>
      <c r="BG4" s="187">
        <v>39386</v>
      </c>
      <c r="BH4" s="187">
        <v>39416</v>
      </c>
      <c r="BI4" s="187">
        <v>39447</v>
      </c>
      <c r="BJ4" s="187">
        <v>39478</v>
      </c>
      <c r="BK4" s="187">
        <v>39507</v>
      </c>
      <c r="BL4" s="187">
        <v>39538</v>
      </c>
      <c r="BM4" s="187">
        <v>39568</v>
      </c>
      <c r="BN4" s="187">
        <v>39599</v>
      </c>
      <c r="BO4" s="187">
        <v>39629</v>
      </c>
      <c r="BP4" s="187">
        <v>39660</v>
      </c>
      <c r="BQ4" s="187">
        <v>39691</v>
      </c>
      <c r="BR4" s="187">
        <v>39721</v>
      </c>
      <c r="BS4" s="187">
        <v>39752</v>
      </c>
    </row>
    <row r="5" spans="1:71" ht="19.5" customHeight="1">
      <c r="A5" s="177"/>
      <c r="B5" s="67" t="s">
        <v>88</v>
      </c>
      <c r="C5" s="68"/>
      <c r="D5" s="68"/>
      <c r="E5" s="69"/>
      <c r="F5" s="70"/>
      <c r="G5" s="70"/>
      <c r="H5" s="70"/>
      <c r="I5" s="70"/>
      <c r="J5" s="70"/>
      <c r="K5" s="70"/>
      <c r="L5" s="70"/>
      <c r="M5" s="71"/>
      <c r="N5" s="70"/>
      <c r="O5" s="72"/>
      <c r="P5" s="73"/>
      <c r="Q5" s="70"/>
      <c r="R5" s="73"/>
      <c r="S5" s="73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</row>
    <row r="6" spans="1:71" ht="19.5" customHeight="1">
      <c r="A6" s="149"/>
      <c r="B6" s="67"/>
      <c r="C6" s="68"/>
      <c r="D6" s="68"/>
      <c r="E6" s="69"/>
      <c r="F6" s="70"/>
      <c r="G6" s="70"/>
      <c r="H6" s="70"/>
      <c r="I6" s="70"/>
      <c r="J6" s="70"/>
      <c r="K6" s="70"/>
      <c r="L6" s="70"/>
      <c r="M6" s="71"/>
      <c r="N6" s="70"/>
      <c r="O6" s="72"/>
      <c r="P6" s="73"/>
      <c r="Q6" s="70"/>
      <c r="R6" s="73"/>
      <c r="S6" s="73"/>
      <c r="T6" s="74"/>
      <c r="U6" s="73"/>
      <c r="V6" s="73"/>
      <c r="W6" s="73"/>
      <c r="X6" s="73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</row>
    <row r="7" spans="2:71" ht="19.5" customHeight="1">
      <c r="B7" s="67" t="s">
        <v>119</v>
      </c>
      <c r="C7" s="75">
        <v>2595.44027685</v>
      </c>
      <c r="D7" s="75">
        <v>2187.8368766900003</v>
      </c>
      <c r="E7" s="75">
        <v>2272.4872471500003</v>
      </c>
      <c r="F7" s="76">
        <v>2113.36340838</v>
      </c>
      <c r="G7" s="76">
        <v>2165.8</v>
      </c>
      <c r="H7" s="77">
        <v>2129.6</v>
      </c>
      <c r="I7" s="70">
        <v>1891</v>
      </c>
      <c r="J7" s="76">
        <v>2181.2</v>
      </c>
      <c r="K7" s="76">
        <v>2467.9</v>
      </c>
      <c r="L7" s="76">
        <v>2091</v>
      </c>
      <c r="M7" s="78">
        <v>2110.3</v>
      </c>
      <c r="N7" s="76">
        <v>2710.8702829799995</v>
      </c>
      <c r="O7" s="79">
        <v>1935.4129830699999</v>
      </c>
      <c r="P7" s="80">
        <v>1824.1042653499997</v>
      </c>
      <c r="Q7" s="70">
        <v>2395.6</v>
      </c>
      <c r="R7" s="70">
        <v>1860.4</v>
      </c>
      <c r="S7" s="70">
        <v>1783.2</v>
      </c>
      <c r="T7" s="70">
        <v>1984.6</v>
      </c>
      <c r="U7" s="70">
        <v>1989.9</v>
      </c>
      <c r="V7" s="70">
        <v>1808.2</v>
      </c>
      <c r="W7" s="70">
        <v>2207.6</v>
      </c>
      <c r="X7" s="70">
        <v>1987.9</v>
      </c>
      <c r="Y7" s="70">
        <v>1977.3</v>
      </c>
      <c r="Z7" s="70">
        <v>2327.5</v>
      </c>
      <c r="AA7" s="70">
        <v>2029.5</v>
      </c>
      <c r="AB7" s="70">
        <v>1912.6</v>
      </c>
      <c r="AC7" s="70">
        <v>2303.8</v>
      </c>
      <c r="AD7" s="70">
        <v>2107.1</v>
      </c>
      <c r="AE7" s="70">
        <v>1874.1</v>
      </c>
      <c r="AF7" s="70">
        <v>2354.7</v>
      </c>
      <c r="AG7" s="70">
        <v>2159.1</v>
      </c>
      <c r="AH7" s="70">
        <v>1818.2</v>
      </c>
      <c r="AI7" s="76">
        <v>2245</v>
      </c>
      <c r="AJ7" s="76">
        <v>1902.22246</v>
      </c>
      <c r="AK7" s="76">
        <v>1983.9</v>
      </c>
      <c r="AL7" s="76">
        <v>2705.5</v>
      </c>
      <c r="AM7" s="76">
        <v>2696</v>
      </c>
      <c r="AN7" s="76">
        <v>2458.1</v>
      </c>
      <c r="AO7" s="76">
        <v>3129.7</v>
      </c>
      <c r="AP7" s="76">
        <v>2973</v>
      </c>
      <c r="AQ7" s="76">
        <v>2677.9</v>
      </c>
      <c r="AR7" s="76">
        <v>3313.1</v>
      </c>
      <c r="AS7" s="76">
        <v>2760.7</v>
      </c>
      <c r="AT7" s="76">
        <v>3119.2</v>
      </c>
      <c r="AU7" s="76">
        <v>4104.4</v>
      </c>
      <c r="AV7" s="76">
        <v>3495.2</v>
      </c>
      <c r="AW7" s="76">
        <v>3164.3</v>
      </c>
      <c r="AX7" s="76">
        <v>4865.6</v>
      </c>
      <c r="AY7" s="76">
        <v>4466.4</v>
      </c>
      <c r="AZ7" s="76">
        <v>5690</v>
      </c>
      <c r="BA7" s="76">
        <v>6260.1</v>
      </c>
      <c r="BB7" s="261">
        <v>5643.8</v>
      </c>
      <c r="BC7" s="267">
        <v>6085.3</v>
      </c>
      <c r="BD7" s="267">
        <v>7455.9</v>
      </c>
      <c r="BE7" s="267">
        <v>6359</v>
      </c>
      <c r="BF7" s="267">
        <v>5868.650081049999</v>
      </c>
      <c r="BG7" s="267">
        <v>6499.853570999999</v>
      </c>
      <c r="BH7" s="267">
        <v>6257.02633294</v>
      </c>
      <c r="BI7" s="267">
        <v>6743.949222620002</v>
      </c>
      <c r="BJ7" s="267">
        <v>8497.90853458</v>
      </c>
      <c r="BK7" s="267">
        <v>8656.654479950002</v>
      </c>
      <c r="BL7" s="267">
        <v>8900.78</v>
      </c>
      <c r="BM7" s="267">
        <v>9949.63092274</v>
      </c>
      <c r="BN7" s="267">
        <v>9441.90025126</v>
      </c>
      <c r="BO7" s="267">
        <v>9697.814715469998</v>
      </c>
      <c r="BP7" s="267">
        <v>11758.2039831</v>
      </c>
      <c r="BQ7" s="267">
        <v>10730.849802119998</v>
      </c>
      <c r="BR7" s="267">
        <v>10942.098551590001</v>
      </c>
      <c r="BS7" s="267">
        <v>13805.317071959998</v>
      </c>
    </row>
    <row r="8" spans="2:71" ht="19.5" customHeight="1">
      <c r="B8" s="67" t="s">
        <v>30</v>
      </c>
      <c r="C8" s="81"/>
      <c r="D8" s="81">
        <f>D7-C7</f>
        <v>-407.60340015999964</v>
      </c>
      <c r="E8" s="81">
        <f>E7-D7</f>
        <v>84.65037045999998</v>
      </c>
      <c r="F8" s="81">
        <f>F7-E7</f>
        <v>-159.12383877000048</v>
      </c>
      <c r="G8" s="81">
        <f aca="true" t="shared" si="0" ref="G8:AG8">G7-F7</f>
        <v>52.4365916200004</v>
      </c>
      <c r="H8" s="81">
        <f t="shared" si="0"/>
        <v>-36.20000000000027</v>
      </c>
      <c r="I8" s="81">
        <f t="shared" si="0"/>
        <v>-238.5999999999999</v>
      </c>
      <c r="J8" s="81">
        <f t="shared" si="0"/>
        <v>290.1999999999998</v>
      </c>
      <c r="K8" s="81">
        <f t="shared" si="0"/>
        <v>286.7000000000003</v>
      </c>
      <c r="L8" s="81">
        <f t="shared" si="0"/>
        <v>-376.9000000000001</v>
      </c>
      <c r="M8" s="81">
        <f t="shared" si="0"/>
        <v>19.300000000000182</v>
      </c>
      <c r="N8" s="81">
        <f t="shared" si="0"/>
        <v>600.5702829799993</v>
      </c>
      <c r="O8" s="82">
        <f t="shared" si="0"/>
        <v>-775.4572999099996</v>
      </c>
      <c r="P8" s="77">
        <f t="shared" si="0"/>
        <v>-111.30871772000023</v>
      </c>
      <c r="Q8" s="77">
        <f t="shared" si="0"/>
        <v>571.4957346500003</v>
      </c>
      <c r="R8" s="77">
        <f t="shared" si="0"/>
        <v>-535.1999999999998</v>
      </c>
      <c r="S8" s="77">
        <f t="shared" si="0"/>
        <v>-77.20000000000005</v>
      </c>
      <c r="T8" s="77">
        <f t="shared" si="0"/>
        <v>201.39999999999986</v>
      </c>
      <c r="U8" s="77">
        <f t="shared" si="0"/>
        <v>5.300000000000182</v>
      </c>
      <c r="V8" s="77">
        <f t="shared" si="0"/>
        <v>-181.70000000000005</v>
      </c>
      <c r="W8" s="77">
        <f t="shared" si="0"/>
        <v>399.39999999999986</v>
      </c>
      <c r="X8" s="77">
        <f t="shared" si="0"/>
        <v>-219.69999999999982</v>
      </c>
      <c r="Y8" s="77">
        <f t="shared" si="0"/>
        <v>-10.600000000000136</v>
      </c>
      <c r="Z8" s="77">
        <f t="shared" si="0"/>
        <v>350.20000000000005</v>
      </c>
      <c r="AA8" s="77">
        <f t="shared" si="0"/>
        <v>-298</v>
      </c>
      <c r="AB8" s="77">
        <f t="shared" si="0"/>
        <v>-116.90000000000009</v>
      </c>
      <c r="AC8" s="77">
        <f t="shared" si="0"/>
        <v>391.2000000000003</v>
      </c>
      <c r="AD8" s="77">
        <f t="shared" si="0"/>
        <v>-196.70000000000027</v>
      </c>
      <c r="AE8" s="77">
        <f t="shared" si="0"/>
        <v>-233</v>
      </c>
      <c r="AF8" s="77">
        <f t="shared" si="0"/>
        <v>480.5999999999999</v>
      </c>
      <c r="AG8" s="77">
        <f t="shared" si="0"/>
        <v>-195.5999999999999</v>
      </c>
      <c r="AH8" s="77">
        <f aca="true" t="shared" si="1" ref="AH8:BS8">AH7-AG7</f>
        <v>-340.89999999999986</v>
      </c>
      <c r="AI8" s="77">
        <f t="shared" si="1"/>
        <v>426.79999999999995</v>
      </c>
      <c r="AJ8" s="77">
        <f t="shared" si="1"/>
        <v>-342.77754000000004</v>
      </c>
      <c r="AK8" s="77">
        <f t="shared" si="1"/>
        <v>81.67754000000014</v>
      </c>
      <c r="AL8" s="77">
        <f t="shared" si="1"/>
        <v>721.5999999999999</v>
      </c>
      <c r="AM8" s="77">
        <f t="shared" si="1"/>
        <v>-9.5</v>
      </c>
      <c r="AN8" s="77">
        <f t="shared" si="1"/>
        <v>-237.9000000000001</v>
      </c>
      <c r="AO8" s="77">
        <f t="shared" si="1"/>
        <v>671.5999999999999</v>
      </c>
      <c r="AP8" s="77">
        <f t="shared" si="1"/>
        <v>-156.69999999999982</v>
      </c>
      <c r="AQ8" s="77">
        <f t="shared" si="1"/>
        <v>-295.0999999999999</v>
      </c>
      <c r="AR8" s="77">
        <f t="shared" si="1"/>
        <v>635.1999999999998</v>
      </c>
      <c r="AS8" s="77">
        <f t="shared" si="1"/>
        <v>-552.4000000000001</v>
      </c>
      <c r="AT8" s="77">
        <f t="shared" si="1"/>
        <v>358.5</v>
      </c>
      <c r="AU8" s="77">
        <f t="shared" si="1"/>
        <v>985.1999999999998</v>
      </c>
      <c r="AV8" s="77">
        <f t="shared" si="1"/>
        <v>-609.1999999999998</v>
      </c>
      <c r="AW8" s="77">
        <f t="shared" si="1"/>
        <v>-330.89999999999964</v>
      </c>
      <c r="AX8" s="77">
        <f t="shared" si="1"/>
        <v>1701.3000000000002</v>
      </c>
      <c r="AY8" s="77">
        <f t="shared" si="1"/>
        <v>-399.2000000000007</v>
      </c>
      <c r="AZ8" s="77">
        <f t="shared" si="1"/>
        <v>1223.6000000000004</v>
      </c>
      <c r="BA8" s="77">
        <f t="shared" si="1"/>
        <v>570.1000000000004</v>
      </c>
      <c r="BB8" s="262">
        <f t="shared" si="1"/>
        <v>-616.3000000000002</v>
      </c>
      <c r="BC8" s="268">
        <f t="shared" si="1"/>
        <v>441.5</v>
      </c>
      <c r="BD8" s="268">
        <f t="shared" si="1"/>
        <v>1370.5999999999995</v>
      </c>
      <c r="BE8" s="268">
        <f t="shared" si="1"/>
        <v>-1096.8999999999996</v>
      </c>
      <c r="BF8" s="268">
        <f t="shared" si="1"/>
        <v>-490.34991895000076</v>
      </c>
      <c r="BG8" s="268">
        <f t="shared" si="1"/>
        <v>631.2034899499995</v>
      </c>
      <c r="BH8" s="268">
        <f t="shared" si="1"/>
        <v>-242.8272380599983</v>
      </c>
      <c r="BI8" s="268">
        <f t="shared" si="1"/>
        <v>486.9228896800014</v>
      </c>
      <c r="BJ8" s="268">
        <f t="shared" si="1"/>
        <v>1753.9593119599976</v>
      </c>
      <c r="BK8" s="268">
        <f t="shared" si="1"/>
        <v>158.74594537000303</v>
      </c>
      <c r="BL8" s="268">
        <f t="shared" si="1"/>
        <v>244.12552004999816</v>
      </c>
      <c r="BM8" s="268">
        <f t="shared" si="1"/>
        <v>1048.850922739999</v>
      </c>
      <c r="BN8" s="268">
        <f t="shared" si="1"/>
        <v>-507.7306714799997</v>
      </c>
      <c r="BO8" s="268">
        <f t="shared" si="1"/>
        <v>255.9144642099982</v>
      </c>
      <c r="BP8" s="268">
        <f t="shared" si="1"/>
        <v>2060.389267630002</v>
      </c>
      <c r="BQ8" s="268">
        <f t="shared" si="1"/>
        <v>-1027.3541809800026</v>
      </c>
      <c r="BR8" s="268">
        <f t="shared" si="1"/>
        <v>211.24874947000353</v>
      </c>
      <c r="BS8" s="268">
        <f t="shared" si="1"/>
        <v>2863.2185203699973</v>
      </c>
    </row>
    <row r="9" spans="2:71" ht="19.5" customHeight="1">
      <c r="B9" s="67"/>
      <c r="C9" s="68"/>
      <c r="D9" s="68"/>
      <c r="E9" s="68"/>
      <c r="F9" s="70"/>
      <c r="G9" s="70"/>
      <c r="H9" s="70"/>
      <c r="I9" s="70"/>
      <c r="J9" s="70"/>
      <c r="K9" s="70"/>
      <c r="L9" s="70"/>
      <c r="M9" s="71"/>
      <c r="N9" s="70"/>
      <c r="O9" s="72"/>
      <c r="P9" s="73"/>
      <c r="Q9" s="70"/>
      <c r="R9" s="73"/>
      <c r="S9" s="73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</row>
    <row r="10" spans="2:71" ht="19.5" customHeight="1">
      <c r="B10" s="67" t="s">
        <v>44</v>
      </c>
      <c r="C10" s="68"/>
      <c r="D10" s="68"/>
      <c r="E10" s="68"/>
      <c r="F10" s="70"/>
      <c r="G10" s="70"/>
      <c r="H10" s="70"/>
      <c r="I10" s="70"/>
      <c r="J10" s="70"/>
      <c r="K10" s="70"/>
      <c r="L10" s="70"/>
      <c r="M10" s="71"/>
      <c r="N10" s="70"/>
      <c r="O10" s="72"/>
      <c r="P10" s="73"/>
      <c r="Q10" s="70"/>
      <c r="R10" s="73"/>
      <c r="S10" s="73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</row>
    <row r="11" spans="2:71" ht="19.5" customHeight="1">
      <c r="B11" s="67"/>
      <c r="C11" s="68"/>
      <c r="D11" s="68"/>
      <c r="E11" s="68"/>
      <c r="F11" s="70"/>
      <c r="G11" s="70"/>
      <c r="H11" s="70"/>
      <c r="I11" s="70"/>
      <c r="J11" s="70"/>
      <c r="K11" s="70"/>
      <c r="L11" s="70"/>
      <c r="M11" s="71"/>
      <c r="N11" s="70"/>
      <c r="O11" s="72"/>
      <c r="P11" s="73"/>
      <c r="Q11" s="70"/>
      <c r="R11" s="73"/>
      <c r="S11" s="73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</row>
    <row r="12" spans="2:71" ht="19.5" customHeight="1">
      <c r="B12" s="67" t="s">
        <v>31</v>
      </c>
      <c r="C12" s="68"/>
      <c r="D12" s="68">
        <v>8.0439</v>
      </c>
      <c r="E12" s="68">
        <v>7.7068</v>
      </c>
      <c r="F12" s="83">
        <v>7.6652</v>
      </c>
      <c r="G12" s="83">
        <v>7.9027</v>
      </c>
      <c r="H12" s="83">
        <v>7.5401</v>
      </c>
      <c r="I12" s="70">
        <v>7.3922</v>
      </c>
      <c r="J12" s="70">
        <v>7.3246</v>
      </c>
      <c r="K12" s="70">
        <v>6.9637</v>
      </c>
      <c r="L12" s="70">
        <v>6.7287</v>
      </c>
      <c r="M12" s="71">
        <v>6.5159</v>
      </c>
      <c r="N12" s="70">
        <v>6.9179</v>
      </c>
      <c r="O12" s="71">
        <v>6.7686</v>
      </c>
      <c r="P12" s="70">
        <v>6.6633</v>
      </c>
      <c r="Q12" s="70">
        <v>6.5537</v>
      </c>
      <c r="R12" s="70">
        <v>6.7821</v>
      </c>
      <c r="S12" s="70">
        <v>6.4381</v>
      </c>
      <c r="T12" s="84">
        <v>6.1287</v>
      </c>
      <c r="U12" s="70">
        <v>6.4575</v>
      </c>
      <c r="V12" s="70">
        <v>6.5469</v>
      </c>
      <c r="W12" s="70">
        <v>6.3876</v>
      </c>
      <c r="X12" s="70">
        <v>6.0558</v>
      </c>
      <c r="Y12" s="70">
        <v>5.7323</v>
      </c>
      <c r="Z12" s="70">
        <v>5.9698</v>
      </c>
      <c r="AA12" s="70">
        <v>6.0161</v>
      </c>
      <c r="AB12" s="70">
        <v>6.323</v>
      </c>
      <c r="AC12" s="70">
        <v>6.1521</v>
      </c>
      <c r="AD12" s="70">
        <v>6.3314</v>
      </c>
      <c r="AE12" s="84">
        <v>6.75</v>
      </c>
      <c r="AF12" s="84">
        <v>6.7035</v>
      </c>
      <c r="AG12" s="84">
        <v>6.465</v>
      </c>
      <c r="AH12" s="84">
        <v>6.3578</v>
      </c>
      <c r="AI12" s="84">
        <v>6.5766</v>
      </c>
      <c r="AJ12" s="84">
        <v>6.521</v>
      </c>
      <c r="AK12" s="84">
        <v>6.3591</v>
      </c>
      <c r="AL12" s="84">
        <v>6.0891</v>
      </c>
      <c r="AM12" s="84">
        <v>6.1177</v>
      </c>
      <c r="AN12" s="84">
        <v>6.2544</v>
      </c>
      <c r="AO12" s="84">
        <v>6.072</v>
      </c>
      <c r="AP12" s="84">
        <v>6.3199</v>
      </c>
      <c r="AQ12" s="84">
        <v>6.9549</v>
      </c>
      <c r="AR12" s="84">
        <v>7.0843</v>
      </c>
      <c r="AS12" s="84">
        <v>6.9553</v>
      </c>
      <c r="AT12" s="84">
        <v>7.4098</v>
      </c>
      <c r="AU12" s="84">
        <v>7.6492</v>
      </c>
      <c r="AV12" s="84">
        <v>7.2586</v>
      </c>
      <c r="AW12" s="84">
        <v>7.0406</v>
      </c>
      <c r="AX12" s="84">
        <v>7.1838</v>
      </c>
      <c r="AY12" s="84">
        <v>7.1698</v>
      </c>
      <c r="AZ12" s="84">
        <v>7.3514</v>
      </c>
      <c r="BA12" s="84">
        <v>7.1216</v>
      </c>
      <c r="BB12" s="264">
        <v>7.0187</v>
      </c>
      <c r="BC12" s="264">
        <v>7.1718</v>
      </c>
      <c r="BD12" s="264">
        <v>6.973</v>
      </c>
      <c r="BE12" s="264">
        <v>7.2334</v>
      </c>
      <c r="BF12" s="264">
        <v>7.1282</v>
      </c>
      <c r="BG12" s="264">
        <v>6.7729</v>
      </c>
      <c r="BH12" s="264">
        <v>6.701</v>
      </c>
      <c r="BI12" s="264">
        <v>6.8271</v>
      </c>
      <c r="BJ12" s="264">
        <v>6.9874</v>
      </c>
      <c r="BK12" s="264">
        <v>7.6386</v>
      </c>
      <c r="BL12" s="264">
        <v>7.9799</v>
      </c>
      <c r="BM12" s="264">
        <v>7.7933</v>
      </c>
      <c r="BN12" s="264">
        <v>7.6238</v>
      </c>
      <c r="BO12" s="264">
        <v>7.9188</v>
      </c>
      <c r="BP12" s="264">
        <v>7.6393</v>
      </c>
      <c r="BQ12" s="264">
        <v>7.6578</v>
      </c>
      <c r="BR12" s="264">
        <v>8.0472</v>
      </c>
      <c r="BS12" s="264">
        <v>9.6715</v>
      </c>
    </row>
    <row r="13" spans="2:71" ht="19.5" customHeight="1">
      <c r="B13" s="67" t="s">
        <v>32</v>
      </c>
      <c r="C13" s="85"/>
      <c r="D13" s="85">
        <f>1/8.0439</f>
        <v>0.124317806039359</v>
      </c>
      <c r="E13" s="85">
        <f>1/7.7068</f>
        <v>0.12975554056158198</v>
      </c>
      <c r="F13" s="86">
        <f>1/7.6652</f>
        <v>0.13045974012419767</v>
      </c>
      <c r="G13" s="86">
        <f>1/7.9027</f>
        <v>0.12653903096410088</v>
      </c>
      <c r="H13" s="86">
        <f>1/7.5401</f>
        <v>0.1326242357528415</v>
      </c>
      <c r="I13" s="86">
        <f>1/7.3922</f>
        <v>0.13527772516977354</v>
      </c>
      <c r="J13" s="86">
        <f>1/7.3246</f>
        <v>0.1365262266881468</v>
      </c>
      <c r="K13" s="86">
        <f>1/6.9637</f>
        <v>0.14360182087108864</v>
      </c>
      <c r="L13" s="86">
        <f>1/6.7287</f>
        <v>0.14861711771961894</v>
      </c>
      <c r="M13" s="86">
        <f>1/6.5159</f>
        <v>0.15347074080326586</v>
      </c>
      <c r="N13" s="86">
        <f>1/6.9179</f>
        <v>0.14455253761979792</v>
      </c>
      <c r="O13" s="87">
        <f>1/6.7686</f>
        <v>0.14774103950595396</v>
      </c>
      <c r="P13" s="86">
        <f>1/6.6633</f>
        <v>0.1500757882730779</v>
      </c>
      <c r="Q13" s="86">
        <f>1/6.5537</f>
        <v>0.15258556235409004</v>
      </c>
      <c r="R13" s="86">
        <f>1/6.7821</f>
        <v>0.14744695595759427</v>
      </c>
      <c r="S13" s="86">
        <f>1/6.4381</f>
        <v>0.15532532890138395</v>
      </c>
      <c r="T13" s="86">
        <f>1/6.1287</f>
        <v>0.1631667400916997</v>
      </c>
      <c r="U13" s="86">
        <f>1/6.4575</f>
        <v>0.1548586914440573</v>
      </c>
      <c r="V13" s="86">
        <f>1/6.5469</f>
        <v>0.15274404680077594</v>
      </c>
      <c r="W13" s="86">
        <f>1/6.3876</f>
        <v>0.15655332206149414</v>
      </c>
      <c r="X13" s="86">
        <f>1/6.0558</f>
        <v>0.16513094884243207</v>
      </c>
      <c r="Y13" s="86">
        <f>1/5.7323</f>
        <v>0.17445004622926225</v>
      </c>
      <c r="Z13" s="86">
        <f>1/5.9698</f>
        <v>0.1675097993232604</v>
      </c>
      <c r="AA13" s="86">
        <f>1/6.0161</f>
        <v>0.16622064127923405</v>
      </c>
      <c r="AB13" s="86">
        <f>1/6.0101</f>
        <v>0.16638658258598024</v>
      </c>
      <c r="AC13" s="86">
        <f>1/6.1521</f>
        <v>0.16254612246224867</v>
      </c>
      <c r="AD13" s="86">
        <f>1/6.3314</f>
        <v>0.1579429510060966</v>
      </c>
      <c r="AE13" s="86">
        <f>1/6.75</f>
        <v>0.14814814814814814</v>
      </c>
      <c r="AF13" s="86">
        <f>1/6.7035</f>
        <v>0.14917580368464234</v>
      </c>
      <c r="AG13" s="86">
        <f>1/6.465</f>
        <v>0.15467904098994587</v>
      </c>
      <c r="AH13" s="86">
        <f>1/6.3578</f>
        <v>0.1572871118940514</v>
      </c>
      <c r="AI13" s="86">
        <f>1/6.5766</f>
        <v>0.15205425295745523</v>
      </c>
      <c r="AJ13" s="86">
        <f>1/6.521</f>
        <v>0.15335071308081583</v>
      </c>
      <c r="AK13" s="86">
        <f>1/6.3591</f>
        <v>0.157254957462534</v>
      </c>
      <c r="AL13" s="86">
        <f>1/6.0891</f>
        <v>0.1642278826099095</v>
      </c>
      <c r="AM13" s="86">
        <f>1/6.1177</f>
        <v>0.16346012390277392</v>
      </c>
      <c r="AN13" s="86">
        <f>1/6.2544</f>
        <v>0.15988743924277307</v>
      </c>
      <c r="AO13" s="86">
        <f>1/6.072</f>
        <v>0.16469038208168643</v>
      </c>
      <c r="AP13" s="86">
        <f>1/6.3199</f>
        <v>0.15823035174607195</v>
      </c>
      <c r="AQ13" s="86">
        <f>1/6.9549</f>
        <v>0.14378351953299112</v>
      </c>
      <c r="AR13" s="86">
        <f>1/7.0843</f>
        <v>0.14115720678119223</v>
      </c>
      <c r="AS13" s="86">
        <f>1/6.9553</f>
        <v>0.14377525052837403</v>
      </c>
      <c r="AT13" s="86">
        <f>1/7.4098</f>
        <v>0.1349564090798672</v>
      </c>
      <c r="AU13" s="86">
        <f>1/7.6492</f>
        <v>0.13073262563405322</v>
      </c>
      <c r="AV13" s="86">
        <f>1/7.2586</f>
        <v>0.1377676135893974</v>
      </c>
      <c r="AW13" s="86">
        <f>1/7.0406</f>
        <v>0.14203334943044627</v>
      </c>
      <c r="AX13" s="86">
        <f>1/7.1838</f>
        <v>0.13920209359948774</v>
      </c>
      <c r="AY13" s="86">
        <f>1/7.1698</f>
        <v>0.13947390443248067</v>
      </c>
      <c r="AZ13" s="86">
        <f>1/7.3514</f>
        <v>0.13602851157602633</v>
      </c>
      <c r="BA13" s="86">
        <f>1/7.1216</f>
        <v>0.14041788362165805</v>
      </c>
      <c r="BB13" s="265">
        <f>1/7.0187</f>
        <v>0.14247652699217803</v>
      </c>
      <c r="BC13" s="265">
        <f>1/7.1718</f>
        <v>0.13943500934214562</v>
      </c>
      <c r="BD13" s="265">
        <f>1/6.973</f>
        <v>0.1434102968593145</v>
      </c>
      <c r="BE13" s="265">
        <f>1/7.2334</f>
        <v>0.1382475737550806</v>
      </c>
      <c r="BF13" s="265">
        <f>1/7.1282</f>
        <v>0.14028787071069837</v>
      </c>
      <c r="BG13" s="265">
        <f>1/6.7729</f>
        <v>0.14764724121129796</v>
      </c>
      <c r="BH13" s="265">
        <f>1/6.701</f>
        <v>0.14923145799134457</v>
      </c>
      <c r="BI13" s="265">
        <f>1/6.8271</f>
        <v>0.14647507726560327</v>
      </c>
      <c r="BJ13" s="265">
        <f>1/6.9871</f>
        <v>0.1431208942193471</v>
      </c>
      <c r="BK13" s="265">
        <f>1/7.6386</f>
        <v>0.13091404184012775</v>
      </c>
      <c r="BL13" s="265">
        <f>1/7.9799</f>
        <v>0.1253148535695936</v>
      </c>
      <c r="BM13" s="265">
        <f>1/7.7933</f>
        <v>0.1283153477987502</v>
      </c>
      <c r="BN13" s="265">
        <f>1/7.6238</f>
        <v>0.13116818384532647</v>
      </c>
      <c r="BO13" s="265">
        <f>1/7.9188</f>
        <v>0.12628175986260545</v>
      </c>
      <c r="BP13" s="265">
        <f>1/7.6393</f>
        <v>0.13090204599897895</v>
      </c>
      <c r="BQ13" s="265">
        <f>1/7.6578</f>
        <v>0.1305858079343937</v>
      </c>
      <c r="BR13" s="265">
        <f>1/8.0472</f>
        <v>0.12426682572820359</v>
      </c>
      <c r="BS13" s="265">
        <f>1/9.6715</f>
        <v>0.10339657757328233</v>
      </c>
    </row>
    <row r="14" spans="2:71" ht="19.5" customHeight="1" hidden="1">
      <c r="B14" s="67" t="s">
        <v>33</v>
      </c>
      <c r="C14" s="68"/>
      <c r="D14" s="68"/>
      <c r="E14" s="68"/>
      <c r="F14" s="83"/>
      <c r="G14" s="83"/>
      <c r="H14" s="83"/>
      <c r="I14" s="70"/>
      <c r="J14" s="70"/>
      <c r="K14" s="70"/>
      <c r="L14" s="70"/>
      <c r="M14" s="71"/>
      <c r="N14" s="70"/>
      <c r="O14" s="72"/>
      <c r="P14" s="73"/>
      <c r="Q14" s="70"/>
      <c r="R14" s="73"/>
      <c r="S14" s="73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</row>
    <row r="15" spans="2:71" ht="19.5" customHeight="1">
      <c r="B15" s="67" t="s">
        <v>34</v>
      </c>
      <c r="C15" s="85"/>
      <c r="D15" s="85">
        <f>1/12.7437</f>
        <v>0.07847014603294176</v>
      </c>
      <c r="E15" s="85">
        <f>1/12.124</f>
        <v>0.08248102936324644</v>
      </c>
      <c r="F15" s="86">
        <f>1/12.4393</f>
        <v>0.08039037566422548</v>
      </c>
      <c r="G15" s="86">
        <f>1/13.1219</f>
        <v>0.07620847590669035</v>
      </c>
      <c r="H15" s="86">
        <f>1/12.26</f>
        <v>0.08156606851549755</v>
      </c>
      <c r="I15" s="86">
        <f>1/11.7868</f>
        <v>0.08484066922319884</v>
      </c>
      <c r="J15" s="86">
        <f>1/11.702</f>
        <v>0.08545547769612032</v>
      </c>
      <c r="K15" s="86">
        <f>1/11.6744</f>
        <v>0.08565750702391557</v>
      </c>
      <c r="L15" s="86">
        <f>1/11.3692</f>
        <v>0.08795693628399535</v>
      </c>
      <c r="M15" s="86">
        <f>1/11.3073</f>
        <v>0.08843844242215207</v>
      </c>
      <c r="N15" s="86">
        <f>1/12.5935</f>
        <v>0.07940604279985707</v>
      </c>
      <c r="O15" s="87">
        <f>1/12.6411</f>
        <v>0.07910703973546607</v>
      </c>
      <c r="P15" s="86">
        <f>1/12.1204</f>
        <v>0.08250552787036732</v>
      </c>
      <c r="Q15" s="86">
        <f>1/11.8224</f>
        <v>0.08458519420760591</v>
      </c>
      <c r="R15" s="86">
        <f>1/12.1262</f>
        <v>0.08246606521416437</v>
      </c>
      <c r="S15" s="86">
        <f>1/11.7619</f>
        <v>0.08502027733614466</v>
      </c>
      <c r="T15" s="86">
        <f>1/11.2923</f>
        <v>0.08855591863482197</v>
      </c>
      <c r="U15" s="86">
        <f>1/11.7446</f>
        <v>0.08514551368288405</v>
      </c>
      <c r="V15" s="86">
        <f>1/11.736</f>
        <v>0.08520790729379686</v>
      </c>
      <c r="W15" s="86">
        <f>1/11.5461</f>
        <v>0.08660933128935312</v>
      </c>
      <c r="X15" s="86">
        <f>1/11.2483</f>
        <v>0.08890232301770044</v>
      </c>
      <c r="Y15" s="86">
        <f>1/11.601</f>
        <v>0.0861994655633135</v>
      </c>
      <c r="Z15" s="86">
        <f>1/11.2168</f>
        <v>0.08915198630625491</v>
      </c>
      <c r="AA15" s="86">
        <f>1/11.3535</f>
        <v>0.08807856608094419</v>
      </c>
      <c r="AB15" s="86">
        <f>1/11.8847</f>
        <v>0.08414179575420498</v>
      </c>
      <c r="AC15" s="86">
        <f>1/11.6567</f>
        <v>0.08578757281220242</v>
      </c>
      <c r="AD15" s="86">
        <f>1/11.7446</f>
        <v>0.08514551368288405</v>
      </c>
      <c r="AE15" s="86">
        <f>1/12.282</f>
        <v>0.08141996417521576</v>
      </c>
      <c r="AF15" s="86">
        <f>1/11.7407</f>
        <v>0.08517379713304998</v>
      </c>
      <c r="AG15" s="86">
        <f>1/11.5992</f>
        <v>0.0862128422649838</v>
      </c>
      <c r="AH15" s="86">
        <f>1/11.4978</f>
        <v>0.08697316008279846</v>
      </c>
      <c r="AI15" s="86">
        <f>1/11.5989</f>
        <v>0.08621507211890782</v>
      </c>
      <c r="AJ15" s="86">
        <f>1/11.2213</f>
        <v>0.08911623430440324</v>
      </c>
      <c r="AK15" s="86">
        <f>1/11.1059</f>
        <v>0.0900422298057789</v>
      </c>
      <c r="AL15" s="86">
        <f>1/10.7529</f>
        <v>0.09299816793609166</v>
      </c>
      <c r="AM15" s="86">
        <f>1/10.6948</f>
        <v>0.09350338482253057</v>
      </c>
      <c r="AN15" s="86">
        <f>1/10.907</f>
        <v>0.09168423947923351</v>
      </c>
      <c r="AO15" s="86">
        <f>1/10.7206</f>
        <v>0.09327836128574894</v>
      </c>
      <c r="AP15" s="86">
        <f>1/11.806</f>
        <v>0.08470269354565475</v>
      </c>
      <c r="AQ15" s="86">
        <f>1/12.8291</f>
        <v>0.07794779056987629</v>
      </c>
      <c r="AR15" s="86">
        <f>1/13.0643</f>
        <v>0.07654447616787735</v>
      </c>
      <c r="AS15" s="86">
        <f>1/13.1608</f>
        <v>0.07598322290438271</v>
      </c>
      <c r="AT15" s="86">
        <f>1/13.9706</f>
        <v>0.07157888709146351</v>
      </c>
      <c r="AU15" s="86">
        <f>1/14.3415</f>
        <v>0.069727713279643</v>
      </c>
      <c r="AV15" s="86">
        <f>1/13.8728</f>
        <v>0.07208350152817024</v>
      </c>
      <c r="AW15" s="86">
        <f>1/13.8362</f>
        <v>0.07227417932669375</v>
      </c>
      <c r="AX15" s="86">
        <f>1/14.0828</f>
        <v>0.07100860624307666</v>
      </c>
      <c r="AY15" s="86">
        <f>1/14.0398</f>
        <v>0.07122608584167865</v>
      </c>
      <c r="AZ15" s="86">
        <f>1/14.3044</f>
        <v>0.06990855960403793</v>
      </c>
      <c r="BA15" s="86">
        <f>1/14.1669</f>
        <v>0.07058707268350874</v>
      </c>
      <c r="BB15" s="265">
        <f>1/13.9229</f>
        <v>0.07182411710204052</v>
      </c>
      <c r="BC15" s="265">
        <f>1/14.2416</f>
        <v>0.07021682956971127</v>
      </c>
      <c r="BD15" s="265">
        <f>1/14.1833</f>
        <v>0.07050545359683572</v>
      </c>
      <c r="BE15" s="265">
        <f>1/14.525</f>
        <v>0.06884681583476764</v>
      </c>
      <c r="BF15" s="265">
        <f>1/14.3767</f>
        <v>0.06955699152100274</v>
      </c>
      <c r="BG15" s="265">
        <f>1/13.8408</f>
        <v>0.0722501589503497</v>
      </c>
      <c r="BH15" s="265">
        <f>1/13.8896</f>
        <v>0.07199631378873401</v>
      </c>
      <c r="BI15" s="265">
        <f>1/13.8016</f>
        <v>0.07245536749362393</v>
      </c>
      <c r="BJ15" s="265">
        <f>1/13.7527</f>
        <v>0.0727129945392541</v>
      </c>
      <c r="BK15" s="265">
        <f>1/15.0048</f>
        <v>0.06664534015781617</v>
      </c>
      <c r="BL15" s="265">
        <f>1/15.9805</f>
        <v>0.06257626482275273</v>
      </c>
      <c r="BM15" s="265">
        <f>1/15.4224</f>
        <v>0.06484075111526091</v>
      </c>
      <c r="BN15" s="265">
        <f>1/14.97</f>
        <v>0.0668002672010688</v>
      </c>
      <c r="BO15" s="265">
        <f>1/15.5595</f>
        <v>0.06426941739773129</v>
      </c>
      <c r="BP15" s="265">
        <f>1/15.1886</f>
        <v>0.0658388528238284</v>
      </c>
      <c r="BQ15" s="265">
        <f>1/14.4731</f>
        <v>0.06909369796380872</v>
      </c>
      <c r="BR15" s="265">
        <f>1/14.4452</f>
        <v>0.06922714811840612</v>
      </c>
      <c r="BS15" s="265">
        <f>1/16.3843</f>
        <v>0.06103403868337372</v>
      </c>
    </row>
    <row r="16" spans="2:71" ht="19.5" customHeight="1">
      <c r="B16" s="67" t="s">
        <v>35</v>
      </c>
      <c r="C16" s="85"/>
      <c r="D16" s="85">
        <f>1/0.0679</f>
        <v>14.727540500736376</v>
      </c>
      <c r="E16" s="85">
        <f>1/0.0642</f>
        <v>15.576323987538942</v>
      </c>
      <c r="F16" s="86">
        <f>1/0.0654</f>
        <v>15.290519877675841</v>
      </c>
      <c r="G16" s="86">
        <f>1/0.0668</f>
        <v>14.970059880239521</v>
      </c>
      <c r="H16" s="86">
        <f>1/0.0636</f>
        <v>15.723270440251572</v>
      </c>
      <c r="I16" s="86">
        <f>1/0.0622</f>
        <v>16.077170418006432</v>
      </c>
      <c r="J16" s="86">
        <f>1/0.0636</f>
        <v>15.723270440251572</v>
      </c>
      <c r="K16" s="86">
        <f>1/0.0636</f>
        <v>15.723270440251572</v>
      </c>
      <c r="L16" s="86">
        <f>1/0.0616</f>
        <v>16.233766233766232</v>
      </c>
      <c r="M16" s="86">
        <f>1/0.0604</f>
        <v>16.556291390728475</v>
      </c>
      <c r="N16" s="86">
        <f>1/0.065</f>
        <v>15.384615384615383</v>
      </c>
      <c r="O16" s="87">
        <f>1/0.0695</f>
        <v>14.388489208633093</v>
      </c>
      <c r="P16" s="86">
        <f>1/0.0611</f>
        <v>16.366612111292962</v>
      </c>
      <c r="Q16" s="86">
        <f>1/0.061</f>
        <v>16.39344262295082</v>
      </c>
      <c r="R16" s="86">
        <f>1/0.0606</f>
        <v>16.5016501650165</v>
      </c>
      <c r="S16" s="86">
        <f>1/0.0588</f>
        <v>17.006802721088437</v>
      </c>
      <c r="T16" s="86">
        <f>1/0.0561</f>
        <v>17.825311942959004</v>
      </c>
      <c r="U16" s="86">
        <f>1/0.0505</f>
        <v>19.801980198019802</v>
      </c>
      <c r="V16" s="86">
        <f>1/0.0595</f>
        <v>16.80672268907563</v>
      </c>
      <c r="W16" s="86">
        <f>1/0.0587</f>
        <v>17.035775127768314</v>
      </c>
      <c r="X16" s="86">
        <f>1/0.0578</f>
        <v>17.301038062283737</v>
      </c>
      <c r="Y16" s="86">
        <f>1/0.052</f>
        <v>19.23076923076923</v>
      </c>
      <c r="Z16" s="86">
        <f>1/0.0578</f>
        <v>17.301038062283737</v>
      </c>
      <c r="AA16" s="86">
        <f>1/0.0574</f>
        <v>17.421602787456447</v>
      </c>
      <c r="AB16" s="86">
        <f>1/0.0572</f>
        <v>17.482517482517483</v>
      </c>
      <c r="AC16" s="86">
        <f>1/0.0572</f>
        <v>17.482517482517483</v>
      </c>
      <c r="AD16" s="86">
        <f>1/0.0594</f>
        <v>16.835016835016834</v>
      </c>
      <c r="AE16" s="86">
        <f>1/0.0621</f>
        <v>16.10305958132045</v>
      </c>
      <c r="AF16" s="86">
        <f>1/0.0599</f>
        <v>16.69449081803005</v>
      </c>
      <c r="AG16" s="86">
        <f>1/0.0585</f>
        <v>17.094017094017094</v>
      </c>
      <c r="AH16" s="86">
        <f>1/0.0573</f>
        <v>17.452006980802793</v>
      </c>
      <c r="AI16" s="86">
        <f>1/0.0573</f>
        <v>17.452006980802793</v>
      </c>
      <c r="AJ16" s="86">
        <f>1/0.0545</f>
        <v>18.34862385321101</v>
      </c>
      <c r="AK16" s="86">
        <f>1/0.0536</f>
        <v>18.65671641791045</v>
      </c>
      <c r="AL16" s="86">
        <f>1/0.0528</f>
        <v>18.93939393939394</v>
      </c>
      <c r="AM16" s="86">
        <f>1/0.0519</f>
        <v>19.267822736030826</v>
      </c>
      <c r="AN16" s="86">
        <f>1/0.0533</f>
        <v>18.76172607879925</v>
      </c>
      <c r="AO16" s="86">
        <f>1/0.0518</f>
        <v>19.305019305019304</v>
      </c>
      <c r="AP16" s="86">
        <f>1/0.0566</f>
        <v>17.6678445229682</v>
      </c>
      <c r="AQ16" s="86">
        <f>1/0.0607</f>
        <v>16.474464579901156</v>
      </c>
      <c r="AR16" s="86">
        <f>1/0.0613</f>
        <v>16.31321370309951</v>
      </c>
      <c r="AS16" s="86">
        <f>1/0.06</f>
        <v>16.666666666666668</v>
      </c>
      <c r="AT16" s="86">
        <f>1/0.0633</f>
        <v>15.797788309636653</v>
      </c>
      <c r="AU16" s="86">
        <f>1/0.0645</f>
        <v>15.503875968992247</v>
      </c>
      <c r="AV16" s="86">
        <f>1/0.0619</f>
        <v>16.155088852988694</v>
      </c>
      <c r="AW16" s="86">
        <f>1/0.0601</f>
        <v>16.638935108153078</v>
      </c>
      <c r="AX16" s="86">
        <f>1/0.0597</f>
        <v>16.75041876046901</v>
      </c>
      <c r="AY16" s="86">
        <f>1/0.0595</f>
        <v>16.80672268907563</v>
      </c>
      <c r="AZ16" s="86">
        <f>1/0.0627</f>
        <v>15.948963317384369</v>
      </c>
      <c r="BA16" s="86">
        <f>1/0.06</f>
        <v>16.666666666666668</v>
      </c>
      <c r="BB16" s="265">
        <f>1/0.0581</f>
        <v>17.21170395869191</v>
      </c>
      <c r="BC16" s="265">
        <f>1/0.0585</f>
        <v>17.094017094017094</v>
      </c>
      <c r="BD16" s="265">
        <f>1/0.0574</f>
        <v>17.421602787456447</v>
      </c>
      <c r="BE16" s="265">
        <f>1/0.062</f>
        <v>16.129032258064516</v>
      </c>
      <c r="BF16" s="265">
        <f>1/0.062</f>
        <v>16.129032258064516</v>
      </c>
      <c r="BG16" s="265">
        <f>1/0.0585</f>
        <v>17.094017094017094</v>
      </c>
      <c r="BH16" s="265">
        <f>1/0.0603</f>
        <v>16.58374792703151</v>
      </c>
      <c r="BI16" s="265">
        <f>1/0.0609</f>
        <v>16.420361247947454</v>
      </c>
      <c r="BJ16" s="265">
        <f>1/0.0647</f>
        <v>15.45595054095827</v>
      </c>
      <c r="BK16" s="265">
        <f>1/0.0713</f>
        <v>14.025245441795231</v>
      </c>
      <c r="BL16" s="265">
        <f>1/0.0791</f>
        <v>12.642225031605562</v>
      </c>
      <c r="BM16" s="265">
        <f>1/0.0761</f>
        <v>13.140604467805518</v>
      </c>
      <c r="BN16" s="265">
        <f>1/0.0732</f>
        <v>13.66120218579235</v>
      </c>
      <c r="BO16" s="265">
        <f>1/0.0742</f>
        <v>13.477088948787062</v>
      </c>
      <c r="BP16" s="265">
        <f>1/0.0716</f>
        <v>13.966480446927374</v>
      </c>
      <c r="BQ16" s="265">
        <f>1/0.0701</f>
        <v>14.265335235378032</v>
      </c>
      <c r="BR16" s="265">
        <f>1/0.0754</f>
        <v>13.262599469496022</v>
      </c>
      <c r="BS16" s="265">
        <f>1/0.0964</f>
        <v>10.37344398340249</v>
      </c>
    </row>
    <row r="17" spans="2:71" ht="19.5" customHeight="1" hidden="1">
      <c r="B17" s="67" t="s">
        <v>36</v>
      </c>
      <c r="C17" s="88"/>
      <c r="D17" s="88"/>
      <c r="E17" s="88"/>
      <c r="F17" s="70"/>
      <c r="G17" s="70"/>
      <c r="H17" s="70"/>
      <c r="I17" s="70"/>
      <c r="J17" s="70"/>
      <c r="K17" s="70"/>
      <c r="L17" s="70"/>
      <c r="M17" s="70"/>
      <c r="N17" s="70"/>
      <c r="O17" s="72"/>
      <c r="P17" s="73"/>
      <c r="Q17" s="70"/>
      <c r="R17" s="73"/>
      <c r="S17" s="73"/>
      <c r="T17" s="73"/>
      <c r="U17" s="73"/>
      <c r="V17" s="73"/>
      <c r="W17" s="73"/>
      <c r="X17" s="73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</row>
    <row r="18" spans="2:71" ht="19.5" customHeight="1">
      <c r="B18" s="61"/>
      <c r="C18" s="89"/>
      <c r="D18" s="89"/>
      <c r="E18" s="90"/>
      <c r="F18" s="62"/>
      <c r="G18" s="62"/>
      <c r="H18" s="62"/>
      <c r="I18" s="91"/>
      <c r="J18" s="91"/>
      <c r="K18" s="62"/>
      <c r="L18" s="62"/>
      <c r="M18" s="65"/>
      <c r="N18" s="91"/>
      <c r="O18" s="65"/>
      <c r="P18" s="63"/>
      <c r="Q18" s="62"/>
      <c r="R18" s="63"/>
      <c r="S18" s="63"/>
      <c r="T18" s="66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</row>
    <row r="19" spans="2:71" ht="19.5" customHeight="1">
      <c r="B19" s="136" t="s">
        <v>38</v>
      </c>
      <c r="C19" s="89"/>
      <c r="D19" s="89"/>
      <c r="E19" s="61"/>
      <c r="F19" s="62"/>
      <c r="G19" s="62"/>
      <c r="H19" s="62"/>
      <c r="I19" s="63"/>
      <c r="J19" s="63"/>
      <c r="K19" s="62"/>
      <c r="L19" s="62"/>
      <c r="M19" s="64"/>
      <c r="N19" s="63"/>
      <c r="O19" s="65"/>
      <c r="P19" s="63"/>
      <c r="Q19" s="62"/>
      <c r="R19" s="63"/>
      <c r="S19" s="63"/>
      <c r="T19" s="66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</row>
    <row r="20" spans="2:71" ht="19.5" customHeight="1" thickBot="1">
      <c r="B20" s="137" t="s">
        <v>37</v>
      </c>
      <c r="C20" s="92"/>
      <c r="D20" s="92"/>
      <c r="E20" s="93"/>
      <c r="F20" s="94"/>
      <c r="G20" s="94"/>
      <c r="H20" s="94"/>
      <c r="I20" s="95"/>
      <c r="J20" s="95"/>
      <c r="K20" s="94"/>
      <c r="L20" s="94"/>
      <c r="M20" s="96"/>
      <c r="N20" s="95"/>
      <c r="O20" s="97"/>
      <c r="P20" s="95"/>
      <c r="Q20" s="94"/>
      <c r="R20" s="95"/>
      <c r="S20" s="95"/>
      <c r="T20" s="98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</row>
    <row r="21" ht="19.5" customHeight="1">
      <c r="B21" s="266" t="s">
        <v>109</v>
      </c>
    </row>
  </sheetData>
  <sheetProtection/>
  <printOptions horizontalCentered="1"/>
  <pageMargins left="0.95" right="0.49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U72"/>
  <sheetViews>
    <sheetView showGridLines="0" zoomScale="60" zoomScaleNormal="60" zoomScaleSheetLayoutView="50" zoomScalePageLayoutView="0" workbookViewId="0" topLeftCell="A43">
      <selection activeCell="A4" sqref="A4:T70"/>
    </sheetView>
  </sheetViews>
  <sheetFormatPr defaultColWidth="9.140625" defaultRowHeight="12"/>
  <cols>
    <col min="11" max="11" width="8.7109375" style="0" customWidth="1"/>
  </cols>
  <sheetData>
    <row r="2" spans="1:15" ht="12.75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16"/>
      <c r="L2" s="16"/>
      <c r="M2" s="16"/>
      <c r="N2" s="16"/>
      <c r="O2" s="16"/>
    </row>
    <row r="3" spans="1:15" ht="13.5" customHeight="1">
      <c r="A3" s="17"/>
      <c r="B3" s="13"/>
      <c r="C3" s="18"/>
      <c r="D3" s="18"/>
      <c r="E3" s="18"/>
      <c r="F3" s="18"/>
      <c r="G3" s="18"/>
      <c r="H3" s="18"/>
      <c r="I3" s="17"/>
      <c r="J3" s="17"/>
      <c r="K3" s="16"/>
      <c r="L3" s="16"/>
      <c r="M3" s="16"/>
      <c r="N3" s="16"/>
      <c r="O3" s="16"/>
    </row>
    <row r="4" spans="1:15" ht="21">
      <c r="A4" s="299" t="s">
        <v>159</v>
      </c>
      <c r="B4" s="299"/>
      <c r="C4" s="299"/>
      <c r="D4" s="299"/>
      <c r="E4" s="299"/>
      <c r="F4" s="299"/>
      <c r="G4" s="299"/>
      <c r="H4" s="299"/>
      <c r="I4" s="299"/>
      <c r="J4" s="299"/>
      <c r="K4" s="19"/>
      <c r="L4" s="16"/>
      <c r="M4" s="16"/>
      <c r="N4" s="16"/>
      <c r="O4" s="16"/>
    </row>
    <row r="5" spans="1:15" ht="12.75">
      <c r="A5" s="20"/>
      <c r="B5" s="21"/>
      <c r="C5" s="21"/>
      <c r="D5" s="21"/>
      <c r="E5" s="21"/>
      <c r="F5" s="21"/>
      <c r="G5" s="21"/>
      <c r="H5" s="21"/>
      <c r="I5" s="21"/>
      <c r="J5" s="21"/>
      <c r="K5" s="19"/>
      <c r="L5" s="16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21">
      <c r="A38" s="299" t="s">
        <v>151</v>
      </c>
      <c r="B38" s="299"/>
      <c r="C38" s="299"/>
      <c r="D38" s="299"/>
      <c r="E38" s="299"/>
      <c r="F38" s="299"/>
      <c r="G38" s="299"/>
      <c r="H38" s="299"/>
      <c r="I38" s="299"/>
      <c r="J38" s="299"/>
      <c r="K38" s="19"/>
      <c r="L38" s="16"/>
      <c r="M38" s="16"/>
      <c r="N38" s="16"/>
      <c r="O38" s="16"/>
    </row>
    <row r="39" spans="1:15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21" ht="20.25">
      <c r="A55" s="16"/>
      <c r="B55" s="16"/>
      <c r="C55" s="221"/>
      <c r="H55" s="16"/>
      <c r="I55" s="16"/>
      <c r="J55" s="16"/>
      <c r="K55" s="16"/>
      <c r="L55" s="16"/>
      <c r="M55" s="16"/>
      <c r="N55" s="16"/>
      <c r="O55" s="16"/>
      <c r="U55" t="s">
        <v>133</v>
      </c>
    </row>
    <row r="56" spans="1:15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20.25">
      <c r="A61" s="16"/>
      <c r="B61" s="16"/>
      <c r="C61" s="16"/>
      <c r="D61" s="221"/>
      <c r="E61" s="221"/>
      <c r="F61" s="221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</sheetData>
  <sheetProtection/>
  <mergeCells count="3">
    <mergeCell ref="A2:J2"/>
    <mergeCell ref="A4:J4"/>
    <mergeCell ref="A38:J38"/>
  </mergeCells>
  <printOptions horizontalCentered="1" verticalCentered="1"/>
  <pageMargins left="0.77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03"/>
  <sheetViews>
    <sheetView zoomScalePageLayoutView="0" workbookViewId="0" topLeftCell="B1">
      <selection activeCell="B77" sqref="B77:K103"/>
    </sheetView>
  </sheetViews>
  <sheetFormatPr defaultColWidth="9.140625" defaultRowHeight="12"/>
  <cols>
    <col min="2" max="2" width="49.421875" style="0" customWidth="1"/>
    <col min="4" max="4" width="10.00390625" style="0" customWidth="1"/>
    <col min="6" max="6" width="10.00390625" style="0" customWidth="1"/>
    <col min="7" max="7" width="9.28125" style="0" customWidth="1"/>
    <col min="8" max="10" width="9.8515625" style="0" customWidth="1"/>
    <col min="11" max="11" width="8.421875" style="0" customWidth="1"/>
    <col min="12" max="12" width="9.7109375" style="0" bestFit="1" customWidth="1"/>
  </cols>
  <sheetData>
    <row r="1" ht="10.5" thickBot="1">
      <c r="B1" t="s">
        <v>133</v>
      </c>
    </row>
    <row r="2" spans="1:11" ht="9.75">
      <c r="A2" s="156"/>
      <c r="B2" s="285" t="s">
        <v>78</v>
      </c>
      <c r="C2" s="286"/>
      <c r="D2" s="286"/>
      <c r="E2" s="286"/>
      <c r="F2" s="286"/>
      <c r="G2" s="286"/>
      <c r="H2" s="286"/>
      <c r="I2" s="286"/>
      <c r="J2" s="286"/>
      <c r="K2" s="287"/>
    </row>
    <row r="3" spans="1:11" ht="9.75">
      <c r="A3" s="156"/>
      <c r="B3" s="288" t="s">
        <v>125</v>
      </c>
      <c r="C3" s="289"/>
      <c r="D3" s="289"/>
      <c r="E3" s="289"/>
      <c r="F3" s="289"/>
      <c r="G3" s="289"/>
      <c r="H3" s="289"/>
      <c r="I3" s="289"/>
      <c r="J3" s="289"/>
      <c r="K3" s="290"/>
    </row>
    <row r="4" spans="1:11" ht="9.75">
      <c r="A4" s="156"/>
      <c r="B4" s="158"/>
      <c r="C4" s="112"/>
      <c r="D4" s="44"/>
      <c r="E4" s="112"/>
      <c r="F4" s="281" t="s">
        <v>118</v>
      </c>
      <c r="G4" s="305"/>
      <c r="H4" s="180" t="s">
        <v>148</v>
      </c>
      <c r="I4" s="281" t="s">
        <v>149</v>
      </c>
      <c r="J4" s="282"/>
      <c r="K4" s="283"/>
    </row>
    <row r="5" spans="1:11" ht="9.75">
      <c r="A5" s="156"/>
      <c r="B5" s="159"/>
      <c r="C5" s="12">
        <v>39383</v>
      </c>
      <c r="D5" s="111">
        <v>39719</v>
      </c>
      <c r="E5" s="12">
        <v>39731</v>
      </c>
      <c r="F5" s="12" t="s">
        <v>121</v>
      </c>
      <c r="G5" s="102" t="s">
        <v>120</v>
      </c>
      <c r="H5" s="102" t="s">
        <v>150</v>
      </c>
      <c r="I5" s="12">
        <v>39661</v>
      </c>
      <c r="J5" s="12">
        <v>39692</v>
      </c>
      <c r="K5" s="229">
        <v>39722</v>
      </c>
    </row>
    <row r="6" spans="1:12" ht="9.75">
      <c r="A6" s="156"/>
      <c r="B6" s="160" t="s">
        <v>56</v>
      </c>
      <c r="C6" s="197">
        <v>6949.477330049999</v>
      </c>
      <c r="D6" s="197">
        <v>12043.00512827</v>
      </c>
      <c r="E6" s="197">
        <v>14258.827316479998</v>
      </c>
      <c r="F6" s="197">
        <v>2215.822188209997</v>
      </c>
      <c r="G6" s="197">
        <v>7309.349986429998</v>
      </c>
      <c r="H6" s="198">
        <v>18.39924640577068</v>
      </c>
      <c r="I6" s="198">
        <v>67.43665357172348</v>
      </c>
      <c r="J6" s="198">
        <v>91.38597726524847</v>
      </c>
      <c r="K6" s="242">
        <v>105.1784132717994</v>
      </c>
      <c r="L6" s="56"/>
    </row>
    <row r="7" spans="1:12" ht="9.75">
      <c r="A7" s="156"/>
      <c r="B7" s="160" t="s">
        <v>130</v>
      </c>
      <c r="C7" s="197">
        <v>6561.618958169999</v>
      </c>
      <c r="D7" s="197">
        <v>11053.448274620001</v>
      </c>
      <c r="E7" s="197">
        <v>13922.597303449998</v>
      </c>
      <c r="F7" s="197">
        <v>2869.1490288299974</v>
      </c>
      <c r="G7" s="197">
        <v>7360.978345279999</v>
      </c>
      <c r="H7" s="198">
        <v>25.957049398040756</v>
      </c>
      <c r="I7" s="198">
        <v>68.67176228630152</v>
      </c>
      <c r="J7" s="198">
        <v>85.85896077106847</v>
      </c>
      <c r="K7" s="242">
        <v>112.1823499993809</v>
      </c>
      <c r="L7" s="56"/>
    </row>
    <row r="8" spans="1:12" ht="9.75">
      <c r="A8" s="156"/>
      <c r="B8" s="161" t="s">
        <v>57</v>
      </c>
      <c r="C8" s="199">
        <v>6287.971991119999</v>
      </c>
      <c r="D8" s="199">
        <v>4827.434772280001</v>
      </c>
      <c r="E8" s="199">
        <v>7202.505814869999</v>
      </c>
      <c r="F8" s="199">
        <v>2375.071042589998</v>
      </c>
      <c r="G8" s="199">
        <v>914.53382375</v>
      </c>
      <c r="H8" s="200">
        <v>49.19944348555641</v>
      </c>
      <c r="I8" s="200">
        <v>-28.720062971888648</v>
      </c>
      <c r="J8" s="200">
        <v>-14.376572176171665</v>
      </c>
      <c r="K8" s="243">
        <v>14.544177757813227</v>
      </c>
      <c r="L8" s="56"/>
    </row>
    <row r="9" spans="1:12" ht="9.75">
      <c r="A9" s="156"/>
      <c r="B9" s="161" t="s">
        <v>58</v>
      </c>
      <c r="C9" s="199">
        <v>9E-08</v>
      </c>
      <c r="D9" s="199">
        <v>5992.29980451</v>
      </c>
      <c r="E9" s="199">
        <v>6499.53031919</v>
      </c>
      <c r="F9" s="199">
        <v>507.23051467999994</v>
      </c>
      <c r="G9" s="199">
        <v>6499.5303191</v>
      </c>
      <c r="H9" s="200">
        <v>0</v>
      </c>
      <c r="I9" s="200">
        <v>0</v>
      </c>
      <c r="J9" s="200">
        <v>0</v>
      </c>
      <c r="K9" s="243">
        <v>0</v>
      </c>
      <c r="L9" s="56"/>
    </row>
    <row r="10" spans="1:12" ht="9.75">
      <c r="A10" s="156"/>
      <c r="B10" s="161" t="s">
        <v>59</v>
      </c>
      <c r="C10" s="199">
        <v>273.64696696000004</v>
      </c>
      <c r="D10" s="199">
        <v>233.71369783</v>
      </c>
      <c r="E10" s="199">
        <v>220.56116939000003</v>
      </c>
      <c r="F10" s="199">
        <v>-13.15252843999997</v>
      </c>
      <c r="G10" s="199">
        <v>-53.08579757000001</v>
      </c>
      <c r="H10" s="200">
        <v>-5.627624123925731</v>
      </c>
      <c r="I10" s="200">
        <v>-16.798109564917663</v>
      </c>
      <c r="J10" s="200">
        <v>-24.423251738944206</v>
      </c>
      <c r="K10" s="243">
        <v>-19.399373638137106</v>
      </c>
      <c r="L10" s="56"/>
    </row>
    <row r="11" spans="1:12" ht="9.75">
      <c r="A11" s="156"/>
      <c r="B11" s="160" t="s">
        <v>60</v>
      </c>
      <c r="C11" s="197">
        <v>387.85837188</v>
      </c>
      <c r="D11" s="197">
        <v>989.5568536499999</v>
      </c>
      <c r="E11" s="197">
        <v>336.23001303</v>
      </c>
      <c r="F11" s="197">
        <v>-653.3268406199999</v>
      </c>
      <c r="G11" s="197">
        <v>-51.628358849999984</v>
      </c>
      <c r="H11" s="198">
        <v>-66.02216317437356</v>
      </c>
      <c r="I11" s="198">
        <v>51.09517206645269</v>
      </c>
      <c r="J11" s="198">
        <v>186.58015983693468</v>
      </c>
      <c r="K11" s="242">
        <v>-13.311136897664632</v>
      </c>
      <c r="L11" s="56"/>
    </row>
    <row r="12" spans="1:12" ht="9.75">
      <c r="A12" s="156"/>
      <c r="B12" s="161" t="s">
        <v>104</v>
      </c>
      <c r="C12" s="199">
        <v>371.64366773</v>
      </c>
      <c r="D12" s="199">
        <v>966.2105372699998</v>
      </c>
      <c r="E12" s="199">
        <v>312.06026443</v>
      </c>
      <c r="F12" s="199">
        <v>-654.1502728399998</v>
      </c>
      <c r="G12" s="199">
        <v>-59.583403299999986</v>
      </c>
      <c r="H12" s="200">
        <v>-67.70266392336009</v>
      </c>
      <c r="I12" s="200">
        <v>51.44964066242173</v>
      </c>
      <c r="J12" s="200">
        <v>193.6065606255502</v>
      </c>
      <c r="K12" s="243">
        <v>-16.03240105338952</v>
      </c>
      <c r="L12" s="56"/>
    </row>
    <row r="13" spans="1:12" ht="9.75">
      <c r="A13" s="156"/>
      <c r="B13" s="161" t="s">
        <v>79</v>
      </c>
      <c r="C13" s="199">
        <v>0</v>
      </c>
      <c r="D13" s="199">
        <v>0.03722773</v>
      </c>
      <c r="E13" s="199">
        <v>0.03722773</v>
      </c>
      <c r="F13" s="199">
        <v>0</v>
      </c>
      <c r="G13" s="199">
        <v>0.03722773</v>
      </c>
      <c r="H13" s="200">
        <v>0</v>
      </c>
      <c r="I13" s="200">
        <v>0</v>
      </c>
      <c r="J13" s="200">
        <v>0</v>
      </c>
      <c r="K13" s="243">
        <v>0</v>
      </c>
      <c r="L13" s="56"/>
    </row>
    <row r="14" spans="1:12" ht="9.75">
      <c r="A14" s="156"/>
      <c r="B14" s="161" t="s">
        <v>61</v>
      </c>
      <c r="C14" s="199">
        <v>16.214704150000003</v>
      </c>
      <c r="D14" s="199">
        <v>23.30908865</v>
      </c>
      <c r="E14" s="199">
        <v>24.13252087</v>
      </c>
      <c r="F14" s="199">
        <v>0.8234322200000008</v>
      </c>
      <c r="G14" s="199">
        <v>7.917816719999998</v>
      </c>
      <c r="H14" s="200">
        <v>3.532665872803229</v>
      </c>
      <c r="I14" s="200">
        <v>40.8325463897302</v>
      </c>
      <c r="J14" s="200">
        <v>43.74996295487688</v>
      </c>
      <c r="K14" s="243">
        <v>48.83108965019258</v>
      </c>
      <c r="L14" s="56"/>
    </row>
    <row r="15" spans="1:12" ht="9.75">
      <c r="A15" s="156"/>
      <c r="B15" s="162"/>
      <c r="C15" s="197"/>
      <c r="D15" s="197"/>
      <c r="E15" s="197"/>
      <c r="F15" s="197"/>
      <c r="G15" s="197"/>
      <c r="H15" s="198"/>
      <c r="I15" s="198"/>
      <c r="J15" s="198"/>
      <c r="K15" s="242"/>
      <c r="L15" s="56"/>
    </row>
    <row r="16" spans="1:12" ht="9.75">
      <c r="A16" s="156"/>
      <c r="B16" s="160" t="s">
        <v>62</v>
      </c>
      <c r="C16" s="197">
        <v>6949.507917090002</v>
      </c>
      <c r="D16" s="197">
        <v>12042.9901254</v>
      </c>
      <c r="E16" s="197">
        <v>14258.836464200007</v>
      </c>
      <c r="F16" s="197">
        <v>2215.8463388000073</v>
      </c>
      <c r="G16" s="197">
        <v>7309.328547110005</v>
      </c>
      <c r="H16" s="198">
        <v>18.3994698636059</v>
      </c>
      <c r="I16" s="198">
        <v>67.43802658036233</v>
      </c>
      <c r="J16" s="198">
        <v>91.38737974102638</v>
      </c>
      <c r="K16" s="242">
        <v>105.17764184619666</v>
      </c>
      <c r="L16" s="56"/>
    </row>
    <row r="17" spans="1:12" ht="9.75">
      <c r="A17" s="156"/>
      <c r="B17" s="160" t="s">
        <v>63</v>
      </c>
      <c r="C17" s="197">
        <v>1537.385949580002</v>
      </c>
      <c r="D17" s="197">
        <v>2980.3537621200003</v>
      </c>
      <c r="E17" s="197">
        <v>2717.4883484400048</v>
      </c>
      <c r="F17" s="197">
        <v>-262.8654136799955</v>
      </c>
      <c r="G17" s="197">
        <v>1180.1023988600027</v>
      </c>
      <c r="H17" s="198">
        <v>-8.819940002458392</v>
      </c>
      <c r="I17" s="200">
        <v>66.48539742608781</v>
      </c>
      <c r="J17" s="200">
        <v>90.25748209224884</v>
      </c>
      <c r="K17" s="242">
        <v>76.76032158238435</v>
      </c>
      <c r="L17" s="56"/>
    </row>
    <row r="18" spans="1:12" ht="9.75">
      <c r="A18" s="156"/>
      <c r="B18" s="161" t="s">
        <v>64</v>
      </c>
      <c r="C18" s="199">
        <v>1158.76709005</v>
      </c>
      <c r="D18" s="199">
        <v>1463.5925214000001</v>
      </c>
      <c r="E18" s="199">
        <v>1524.66561425</v>
      </c>
      <c r="F18" s="199">
        <v>61.073092849999966</v>
      </c>
      <c r="G18" s="199">
        <v>365.8985242000001</v>
      </c>
      <c r="H18" s="200">
        <v>4.172820778803957</v>
      </c>
      <c r="I18" s="200">
        <v>17.597059760239596</v>
      </c>
      <c r="J18" s="200">
        <v>28.775598714747108</v>
      </c>
      <c r="K18" s="243">
        <v>31.576537454495003</v>
      </c>
      <c r="L18" s="56"/>
    </row>
    <row r="19" spans="1:12" ht="9.75">
      <c r="A19" s="156"/>
      <c r="B19" s="161" t="s">
        <v>65</v>
      </c>
      <c r="C19" s="199">
        <v>378.6188595300021</v>
      </c>
      <c r="D19" s="199">
        <v>1516.76124072</v>
      </c>
      <c r="E19" s="199">
        <v>1192.8227341900047</v>
      </c>
      <c r="F19" s="199">
        <v>-323.93850652999527</v>
      </c>
      <c r="G19" s="199">
        <v>814.2038746600026</v>
      </c>
      <c r="H19" s="200">
        <v>-21.357251084305336</v>
      </c>
      <c r="I19" s="200">
        <v>212.60210292105714</v>
      </c>
      <c r="J19" s="200">
        <v>252.78482846438015</v>
      </c>
      <c r="K19" s="243">
        <v>215.04577866794938</v>
      </c>
      <c r="L19" s="56"/>
    </row>
    <row r="20" spans="1:12" ht="9.75">
      <c r="A20" s="156"/>
      <c r="B20" s="160" t="s">
        <v>105</v>
      </c>
      <c r="C20" s="197">
        <v>5499.04697443</v>
      </c>
      <c r="D20" s="197">
        <v>9082.55451055</v>
      </c>
      <c r="E20" s="197">
        <v>11554.800948200002</v>
      </c>
      <c r="F20" s="197">
        <v>2472.246437650001</v>
      </c>
      <c r="G20" s="197">
        <v>6055.753973770002</v>
      </c>
      <c r="H20" s="198">
        <v>27.219725846713278</v>
      </c>
      <c r="I20" s="198">
        <v>64.8196219415168</v>
      </c>
      <c r="J20" s="198">
        <v>89.24291835025959</v>
      </c>
      <c r="K20" s="242">
        <v>110.12369965066004</v>
      </c>
      <c r="L20" s="56"/>
    </row>
    <row r="21" spans="1:12" ht="9.75">
      <c r="A21" s="156"/>
      <c r="B21" s="161" t="s">
        <v>163</v>
      </c>
      <c r="C21" s="199">
        <v>4473.93920155</v>
      </c>
      <c r="D21" s="199">
        <v>6578.1686732200005</v>
      </c>
      <c r="E21" s="199">
        <v>8107.73002025</v>
      </c>
      <c r="F21" s="199">
        <v>1529.5613470299995</v>
      </c>
      <c r="G21" s="199">
        <v>3633.7908187000003</v>
      </c>
      <c r="H21" s="200">
        <v>23.25208463043685</v>
      </c>
      <c r="I21" s="200">
        <v>65.29021259631642</v>
      </c>
      <c r="J21" s="200">
        <v>82.28894324243437</v>
      </c>
      <c r="K21" s="243">
        <v>81.22128296783895</v>
      </c>
      <c r="L21" s="56"/>
    </row>
    <row r="22" spans="1:12" ht="9.75">
      <c r="A22" s="156"/>
      <c r="B22" s="163" t="s">
        <v>66</v>
      </c>
      <c r="C22" s="199">
        <v>1025.1077728799999</v>
      </c>
      <c r="D22" s="199">
        <v>2504.38583733</v>
      </c>
      <c r="E22" s="199">
        <v>3447.0709279500006</v>
      </c>
      <c r="F22" s="199">
        <v>942.6850906200007</v>
      </c>
      <c r="G22" s="199">
        <v>2421.9631550700005</v>
      </c>
      <c r="H22" s="200">
        <v>37.641368057927735</v>
      </c>
      <c r="I22" s="200">
        <v>63.16339462375733</v>
      </c>
      <c r="J22" s="200">
        <v>110.317123523809</v>
      </c>
      <c r="K22" s="243">
        <v>236.2642464670413</v>
      </c>
      <c r="L22" s="56"/>
    </row>
    <row r="23" spans="1:12" ht="9.75">
      <c r="A23" s="156"/>
      <c r="B23" s="164" t="s">
        <v>0</v>
      </c>
      <c r="C23" s="199">
        <v>5.6027188500000005</v>
      </c>
      <c r="D23" s="199">
        <v>7.156111019999999</v>
      </c>
      <c r="E23" s="199">
        <v>6.980312700000001</v>
      </c>
      <c r="F23" s="199">
        <v>-0.1757983199999984</v>
      </c>
      <c r="G23" s="199">
        <v>1.3775938500000002</v>
      </c>
      <c r="H23" s="200">
        <v>-2.4566181199351824</v>
      </c>
      <c r="I23" s="200">
        <v>65.9025198316143</v>
      </c>
      <c r="J23" s="200">
        <v>50.75094228726218</v>
      </c>
      <c r="K23" s="243">
        <v>24.58795250809347</v>
      </c>
      <c r="L23" s="56"/>
    </row>
    <row r="24" spans="1:12" ht="9.75">
      <c r="A24" s="156"/>
      <c r="B24" s="164" t="s">
        <v>106</v>
      </c>
      <c r="C24" s="199">
        <v>61.765387170000004</v>
      </c>
      <c r="D24" s="199">
        <v>111.34972302999999</v>
      </c>
      <c r="E24" s="199">
        <v>117.28023149000002</v>
      </c>
      <c r="F24" s="199">
        <v>5.930508460000027</v>
      </c>
      <c r="G24" s="199">
        <v>55.514844320000016</v>
      </c>
      <c r="H24" s="200">
        <v>5.3260199474427266</v>
      </c>
      <c r="I24" s="200">
        <v>67.97455148138593</v>
      </c>
      <c r="J24" s="200">
        <v>41.71377089390194</v>
      </c>
      <c r="K24" s="243">
        <v>89.88018510626947</v>
      </c>
      <c r="L24" s="56"/>
    </row>
    <row r="25" spans="1:12" ht="10.5" thickBot="1">
      <c r="A25" s="156"/>
      <c r="B25" s="165" t="s">
        <v>99</v>
      </c>
      <c r="C25" s="244">
        <v>-154.29311294000001</v>
      </c>
      <c r="D25" s="244">
        <v>-138.42398132000005</v>
      </c>
      <c r="E25" s="244">
        <v>-137.71337663000003</v>
      </c>
      <c r="F25" s="244">
        <v>0.7106046900000251</v>
      </c>
      <c r="G25" s="244">
        <v>16.579736309999987</v>
      </c>
      <c r="H25" s="245">
        <v>-0.513353743494267</v>
      </c>
      <c r="I25" s="245">
        <v>-21.831528076477113</v>
      </c>
      <c r="J25" s="245">
        <v>-11.692693026936452</v>
      </c>
      <c r="K25" s="246">
        <v>-10.745610088538005</v>
      </c>
      <c r="L25" s="56"/>
    </row>
    <row r="26" spans="2:12" ht="12" customHeight="1" hidden="1">
      <c r="B26" s="101" t="s">
        <v>77</v>
      </c>
      <c r="C26" s="201">
        <v>-0.0067250900028739125</v>
      </c>
      <c r="D26" s="201">
        <v>-0.02465991999997641</v>
      </c>
      <c r="E26" s="201">
        <v>0.0005970500023977365</v>
      </c>
      <c r="F26" s="201">
        <v>0.025256970002374146</v>
      </c>
      <c r="G26" s="201">
        <v>0.007322140005271649</v>
      </c>
      <c r="H26" s="201">
        <v>0.00027194631181926</v>
      </c>
      <c r="I26" s="201">
        <v>0</v>
      </c>
      <c r="J26" s="201">
        <v>1</v>
      </c>
      <c r="K26" s="202">
        <v>0.0067250900028739125</v>
      </c>
      <c r="L26" s="56">
        <f>(E26-C26)/C26*100</f>
        <v>-108.87794813366946</v>
      </c>
    </row>
    <row r="27" spans="2:11" ht="9.75">
      <c r="B27" s="45"/>
      <c r="C27" s="46"/>
      <c r="D27" s="46"/>
      <c r="E27" s="46"/>
      <c r="F27" s="46"/>
      <c r="G27" s="46"/>
      <c r="H27" s="46"/>
      <c r="I27" s="46"/>
      <c r="J27" s="46"/>
      <c r="K27" s="47"/>
    </row>
    <row r="28" spans="2:11" ht="9.75">
      <c r="B28" s="45"/>
      <c r="C28" s="46"/>
      <c r="D28" s="46"/>
      <c r="E28" s="46"/>
      <c r="F28" s="46"/>
      <c r="G28" s="46"/>
      <c r="H28" s="46"/>
      <c r="I28" s="46"/>
      <c r="J28" s="46"/>
      <c r="K28" s="47"/>
    </row>
    <row r="29" spans="2:11" ht="10.5" thickBot="1">
      <c r="B29" s="45"/>
      <c r="C29" s="46"/>
      <c r="D29" s="46"/>
      <c r="E29" s="46"/>
      <c r="F29" s="46"/>
      <c r="G29" s="46"/>
      <c r="H29" s="46"/>
      <c r="I29" s="46"/>
      <c r="J29" s="46"/>
      <c r="K29" s="47"/>
    </row>
    <row r="30" spans="1:12" ht="9.75">
      <c r="A30" s="156"/>
      <c r="B30" s="285" t="s">
        <v>78</v>
      </c>
      <c r="C30" s="286"/>
      <c r="D30" s="286"/>
      <c r="E30" s="286"/>
      <c r="F30" s="286"/>
      <c r="G30" s="286"/>
      <c r="H30" s="286"/>
      <c r="I30" s="286"/>
      <c r="J30" s="286"/>
      <c r="K30" s="287"/>
      <c r="L30" s="156"/>
    </row>
    <row r="31" spans="1:12" ht="9.75">
      <c r="A31" s="156"/>
      <c r="B31" s="288" t="s">
        <v>126</v>
      </c>
      <c r="C31" s="289"/>
      <c r="D31" s="289"/>
      <c r="E31" s="289"/>
      <c r="F31" s="289"/>
      <c r="G31" s="289"/>
      <c r="H31" s="289"/>
      <c r="I31" s="289"/>
      <c r="J31" s="289"/>
      <c r="K31" s="290"/>
      <c r="L31" s="156"/>
    </row>
    <row r="32" spans="1:12" ht="9.75">
      <c r="A32" s="156"/>
      <c r="B32" s="158"/>
      <c r="C32" s="112"/>
      <c r="D32" s="44"/>
      <c r="E32" s="112"/>
      <c r="F32" s="281" t="s">
        <v>118</v>
      </c>
      <c r="G32" s="305"/>
      <c r="H32" s="180" t="s">
        <v>148</v>
      </c>
      <c r="I32" s="281" t="s">
        <v>149</v>
      </c>
      <c r="J32" s="282"/>
      <c r="K32" s="283"/>
      <c r="L32" s="156"/>
    </row>
    <row r="33" spans="1:12" ht="9.75">
      <c r="A33" s="156"/>
      <c r="B33" s="159"/>
      <c r="C33" s="12">
        <f>C5</f>
        <v>39383</v>
      </c>
      <c r="D33" s="111">
        <f>D5</f>
        <v>39719</v>
      </c>
      <c r="E33" s="12">
        <f>E5</f>
        <v>39731</v>
      </c>
      <c r="F33" s="12" t="s">
        <v>121</v>
      </c>
      <c r="G33" s="102" t="s">
        <v>120</v>
      </c>
      <c r="H33" s="102" t="s">
        <v>150</v>
      </c>
      <c r="I33" s="12">
        <f>I5</f>
        <v>39661</v>
      </c>
      <c r="J33" s="12">
        <f>J5</f>
        <v>39692</v>
      </c>
      <c r="K33" s="229">
        <f>K5</f>
        <v>39722</v>
      </c>
      <c r="L33" s="156"/>
    </row>
    <row r="34" spans="1:12" ht="9.75">
      <c r="A34" s="156"/>
      <c r="B34" s="166" t="s">
        <v>56</v>
      </c>
      <c r="C34" s="212">
        <v>40109.40901723366</v>
      </c>
      <c r="D34" s="212">
        <v>44801.621815651</v>
      </c>
      <c r="E34" s="212">
        <v>45505.03738111663</v>
      </c>
      <c r="F34" s="212">
        <v>703.4155654656279</v>
      </c>
      <c r="G34" s="212">
        <v>5395.62836388297</v>
      </c>
      <c r="H34" s="213">
        <v>1.5700671916745135</v>
      </c>
      <c r="I34" s="213">
        <v>10.836274095891675</v>
      </c>
      <c r="J34" s="213">
        <v>12.2916936635463</v>
      </c>
      <c r="K34" s="247">
        <v>13.440176497157408</v>
      </c>
      <c r="L34" s="156"/>
    </row>
    <row r="35" spans="1:12" ht="9.75">
      <c r="A35" s="156"/>
      <c r="B35" s="166" t="s">
        <v>130</v>
      </c>
      <c r="C35" s="212">
        <v>2215.3421216658903</v>
      </c>
      <c r="D35" s="212">
        <v>2533.7600777809976</v>
      </c>
      <c r="E35" s="212">
        <v>3620.792591246625</v>
      </c>
      <c r="F35" s="212">
        <v>1087.0325134656273</v>
      </c>
      <c r="G35" s="212">
        <v>1405.4504695807345</v>
      </c>
      <c r="H35" s="213">
        <v>42.901951254107004</v>
      </c>
      <c r="I35" s="213">
        <v>-32.56431315093364</v>
      </c>
      <c r="J35" s="213">
        <v>-11.274775580527585</v>
      </c>
      <c r="K35" s="247">
        <v>63.44168947249853</v>
      </c>
      <c r="L35" s="156"/>
    </row>
    <row r="36" spans="1:12" ht="9.75">
      <c r="A36" s="156"/>
      <c r="B36" s="167" t="s">
        <v>67</v>
      </c>
      <c r="C36" s="214">
        <v>89.69924400000001</v>
      </c>
      <c r="D36" s="214">
        <v>347.6931127</v>
      </c>
      <c r="E36" s="214">
        <v>360.89318537</v>
      </c>
      <c r="F36" s="214">
        <v>13.200072670000054</v>
      </c>
      <c r="G36" s="214">
        <v>271.19394137</v>
      </c>
      <c r="H36" s="215">
        <v>3.7964722877296313</v>
      </c>
      <c r="I36" s="215">
        <v>133.23563489595966</v>
      </c>
      <c r="J36" s="215">
        <v>309.97911612034204</v>
      </c>
      <c r="K36" s="248">
        <v>302.33693092218255</v>
      </c>
      <c r="L36" s="156"/>
    </row>
    <row r="37" spans="1:12" ht="9.75">
      <c r="A37" s="156"/>
      <c r="B37" s="167" t="s">
        <v>57</v>
      </c>
      <c r="C37" s="214">
        <v>2076.77587766589</v>
      </c>
      <c r="D37" s="214">
        <v>1824.6665678197649</v>
      </c>
      <c r="E37" s="214">
        <v>2855.876515464844</v>
      </c>
      <c r="F37" s="214">
        <v>1031.2099476450792</v>
      </c>
      <c r="G37" s="214">
        <v>779.1006377989538</v>
      </c>
      <c r="H37" s="215">
        <v>56.51498009728093</v>
      </c>
      <c r="I37" s="215">
        <v>-50.0101985244569</v>
      </c>
      <c r="J37" s="215">
        <v>-32.97149140907686</v>
      </c>
      <c r="K37" s="248">
        <v>37.514911752277904</v>
      </c>
      <c r="L37" s="156"/>
    </row>
    <row r="38" spans="1:12" ht="9.75">
      <c r="A38" s="156"/>
      <c r="B38" s="167" t="s">
        <v>68</v>
      </c>
      <c r="C38" s="214">
        <v>48.867</v>
      </c>
      <c r="D38" s="214">
        <v>66.13100000000001</v>
      </c>
      <c r="E38" s="214">
        <v>66.90599999999999</v>
      </c>
      <c r="F38" s="214">
        <v>0.7749999999999773</v>
      </c>
      <c r="G38" s="214">
        <v>18.038999999999994</v>
      </c>
      <c r="H38" s="215">
        <v>1.1719163478549803</v>
      </c>
      <c r="I38" s="215">
        <v>36.073895166233406</v>
      </c>
      <c r="J38" s="215">
        <v>35.77587976840639</v>
      </c>
      <c r="K38" s="248">
        <v>36.9144821658788</v>
      </c>
      <c r="L38" s="156"/>
    </row>
    <row r="39" spans="1:12" ht="9.75">
      <c r="A39" s="156"/>
      <c r="B39" s="167" t="s">
        <v>69</v>
      </c>
      <c r="C39" s="214">
        <v>0</v>
      </c>
      <c r="D39" s="214">
        <v>295.2693972612328</v>
      </c>
      <c r="E39" s="214">
        <v>337.1168904117809</v>
      </c>
      <c r="F39" s="214">
        <v>41.847493150548075</v>
      </c>
      <c r="G39" s="214">
        <v>337.1168904117809</v>
      </c>
      <c r="H39" s="215">
        <v>0</v>
      </c>
      <c r="I39" s="215">
        <v>0</v>
      </c>
      <c r="J39" s="215">
        <v>0</v>
      </c>
      <c r="K39" s="248">
        <v>0</v>
      </c>
      <c r="L39" s="156"/>
    </row>
    <row r="40" spans="1:12" ht="9.75">
      <c r="A40" s="156"/>
      <c r="B40" s="166" t="s">
        <v>60</v>
      </c>
      <c r="C40" s="212">
        <v>36238.93549193999</v>
      </c>
      <c r="D40" s="212">
        <v>40105.48843031</v>
      </c>
      <c r="E40" s="212">
        <v>39892.470688760004</v>
      </c>
      <c r="F40" s="212">
        <v>-213.01774154999293</v>
      </c>
      <c r="G40" s="212">
        <v>3653.535196820012</v>
      </c>
      <c r="H40" s="213">
        <v>-0.5311436162163863</v>
      </c>
      <c r="I40" s="213">
        <v>14.02065463627762</v>
      </c>
      <c r="J40" s="213">
        <v>14.364004959268906</v>
      </c>
      <c r="K40" s="247">
        <v>10.081795028533902</v>
      </c>
      <c r="L40" s="156"/>
    </row>
    <row r="41" spans="1:12" ht="9.75">
      <c r="A41" s="156"/>
      <c r="B41" s="167" t="s">
        <v>80</v>
      </c>
      <c r="C41" s="214">
        <v>810.72021597</v>
      </c>
      <c r="D41" s="214">
        <v>1793.38352493</v>
      </c>
      <c r="E41" s="214">
        <v>1621.77674252</v>
      </c>
      <c r="F41" s="214">
        <v>-171.60678241000005</v>
      </c>
      <c r="G41" s="214">
        <v>811.05652655</v>
      </c>
      <c r="H41" s="215">
        <v>-9.56888362274312</v>
      </c>
      <c r="I41" s="215">
        <v>123.50429971361817</v>
      </c>
      <c r="J41" s="215">
        <v>145.02514042681702</v>
      </c>
      <c r="K41" s="248">
        <v>100.04148293990642</v>
      </c>
      <c r="L41" s="156"/>
    </row>
    <row r="42" spans="1:12" ht="9.75">
      <c r="A42" s="156"/>
      <c r="B42" s="167" t="s">
        <v>164</v>
      </c>
      <c r="C42" s="214">
        <v>2915.6033267199996</v>
      </c>
      <c r="D42" s="214">
        <v>2848.48299908</v>
      </c>
      <c r="E42" s="214">
        <v>2762.40483101</v>
      </c>
      <c r="F42" s="214">
        <v>-86.07816806999972</v>
      </c>
      <c r="G42" s="214">
        <v>-153.1984957099994</v>
      </c>
      <c r="H42" s="215">
        <v>-3.0218950963653692</v>
      </c>
      <c r="I42" s="215">
        <v>-1.718727630855732</v>
      </c>
      <c r="J42" s="215">
        <v>-3.6787527241737616</v>
      </c>
      <c r="K42" s="248">
        <v>-5.254435481878284</v>
      </c>
      <c r="L42" s="156"/>
    </row>
    <row r="43" spans="1:12" ht="9.75">
      <c r="A43" s="156"/>
      <c r="B43" s="167" t="s">
        <v>50</v>
      </c>
      <c r="C43" s="214">
        <v>2893.57790411</v>
      </c>
      <c r="D43" s="214">
        <v>3028.88303276</v>
      </c>
      <c r="E43" s="214">
        <v>2634.9635329599996</v>
      </c>
      <c r="F43" s="214">
        <v>-393.91949980000027</v>
      </c>
      <c r="G43" s="214">
        <v>-258.61437115000035</v>
      </c>
      <c r="H43" s="215">
        <v>-13.005437831022817</v>
      </c>
      <c r="I43" s="215">
        <v>25.345275384806932</v>
      </c>
      <c r="J43" s="215">
        <v>25.882721015412823</v>
      </c>
      <c r="K43" s="248">
        <v>-8.937529236129016</v>
      </c>
      <c r="L43" s="156"/>
    </row>
    <row r="44" spans="1:12" ht="9.75">
      <c r="A44" s="156"/>
      <c r="B44" s="167" t="s">
        <v>81</v>
      </c>
      <c r="C44" s="214">
        <v>21.682</v>
      </c>
      <c r="D44" s="214">
        <v>67.23609904</v>
      </c>
      <c r="E44" s="214">
        <v>89.68171382</v>
      </c>
      <c r="F44" s="214">
        <v>22.44561478</v>
      </c>
      <c r="G44" s="214">
        <v>67.99971382</v>
      </c>
      <c r="H44" s="215">
        <v>33.383279369980535</v>
      </c>
      <c r="I44" s="215">
        <v>49.532369417693744</v>
      </c>
      <c r="J44" s="215">
        <v>40.861684069387415</v>
      </c>
      <c r="K44" s="248">
        <v>313.62288451249884</v>
      </c>
      <c r="L44" s="156"/>
    </row>
    <row r="45" spans="1:12" ht="9.75">
      <c r="A45" s="156"/>
      <c r="B45" s="167" t="s">
        <v>144</v>
      </c>
      <c r="C45" s="214">
        <v>205.031</v>
      </c>
      <c r="D45" s="214">
        <v>454.07150500999995</v>
      </c>
      <c r="E45" s="214">
        <v>484.97809409</v>
      </c>
      <c r="F45" s="214">
        <v>30.90658908000006</v>
      </c>
      <c r="G45" s="214">
        <v>279.94709409</v>
      </c>
      <c r="H45" s="215">
        <v>6.806546708831555</v>
      </c>
      <c r="I45" s="215">
        <v>271.00692060932363</v>
      </c>
      <c r="J45" s="215">
        <v>243.76959330284808</v>
      </c>
      <c r="K45" s="248">
        <v>136.53891074520436</v>
      </c>
      <c r="L45" s="156"/>
    </row>
    <row r="46" spans="1:12" ht="9.75">
      <c r="A46" s="156"/>
      <c r="B46" s="167" t="s">
        <v>145</v>
      </c>
      <c r="C46" s="214">
        <v>9907.26547875</v>
      </c>
      <c r="D46" s="214">
        <v>10871.555476439999</v>
      </c>
      <c r="E46" s="214">
        <v>10978.490238930002</v>
      </c>
      <c r="F46" s="214">
        <v>106.93476249000378</v>
      </c>
      <c r="G46" s="214">
        <v>1071.2247601800027</v>
      </c>
      <c r="H46" s="215">
        <v>0.9836197103693634</v>
      </c>
      <c r="I46" s="215">
        <v>13.154855083774475</v>
      </c>
      <c r="J46" s="215">
        <v>13.857979710733126</v>
      </c>
      <c r="K46" s="248">
        <v>10.812516960181018</v>
      </c>
      <c r="L46" s="156"/>
    </row>
    <row r="47" spans="1:12" ht="9.75">
      <c r="A47" s="156"/>
      <c r="B47" s="167" t="s">
        <v>51</v>
      </c>
      <c r="C47" s="214">
        <v>19485.055566389998</v>
      </c>
      <c r="D47" s="214">
        <v>21041.87579305</v>
      </c>
      <c r="E47" s="214">
        <v>21320.17553543</v>
      </c>
      <c r="F47" s="214">
        <v>278.2997423800007</v>
      </c>
      <c r="G47" s="214">
        <v>1835.1199690400026</v>
      </c>
      <c r="H47" s="215">
        <v>1.3225994921608717</v>
      </c>
      <c r="I47" s="215">
        <v>9.753254184907757</v>
      </c>
      <c r="J47" s="215">
        <v>9.3379430857234</v>
      </c>
      <c r="K47" s="248">
        <v>9.41808948292364</v>
      </c>
      <c r="L47" s="156"/>
    </row>
    <row r="48" spans="1:12" ht="9.75">
      <c r="A48" s="156"/>
      <c r="B48" s="168" t="s">
        <v>124</v>
      </c>
      <c r="C48" s="212">
        <v>1655.131403627778</v>
      </c>
      <c r="D48" s="212">
        <v>2162.3733075600003</v>
      </c>
      <c r="E48" s="212">
        <v>1991.77410111</v>
      </c>
      <c r="F48" s="212">
        <v>-170.59920645000034</v>
      </c>
      <c r="G48" s="212">
        <v>336.64269748222205</v>
      </c>
      <c r="H48" s="213">
        <v>-7.8894428567703105</v>
      </c>
      <c r="I48" s="213">
        <v>19.191972948569646</v>
      </c>
      <c r="J48" s="213">
        <v>9.563313182510402</v>
      </c>
      <c r="K48" s="247">
        <v>20.046124238534357</v>
      </c>
      <c r="L48" s="156"/>
    </row>
    <row r="49" spans="1:12" ht="9.75">
      <c r="A49" s="156"/>
      <c r="B49" s="169"/>
      <c r="C49" s="212"/>
      <c r="D49" s="212"/>
      <c r="E49" s="212"/>
      <c r="F49" s="212"/>
      <c r="G49" s="214"/>
      <c r="H49" s="215"/>
      <c r="I49" s="215"/>
      <c r="J49" s="215"/>
      <c r="K49" s="248"/>
      <c r="L49" s="156"/>
    </row>
    <row r="50" spans="1:12" ht="9.75">
      <c r="A50" s="156"/>
      <c r="B50" s="166" t="s">
        <v>62</v>
      </c>
      <c r="C50" s="212">
        <v>40109.409753928325</v>
      </c>
      <c r="D50" s="212">
        <v>44801.62194710736</v>
      </c>
      <c r="E50" s="212">
        <v>45505.03592580756</v>
      </c>
      <c r="F50" s="212">
        <v>703.4139787002059</v>
      </c>
      <c r="G50" s="212">
        <v>5395.6261718792375</v>
      </c>
      <c r="H50" s="213">
        <v>1.5700636453087662</v>
      </c>
      <c r="I50" s="213">
        <v>10.848606657720783</v>
      </c>
      <c r="J50" s="213">
        <v>12.303860392546696</v>
      </c>
      <c r="K50" s="247">
        <v>13.452270190415327</v>
      </c>
      <c r="L50" s="156"/>
    </row>
    <row r="51" spans="1:12" ht="9.75">
      <c r="A51" s="156"/>
      <c r="B51" s="170" t="s">
        <v>70</v>
      </c>
      <c r="C51" s="212">
        <v>1450.1218859903606</v>
      </c>
      <c r="D51" s="212">
        <v>897.1925624871233</v>
      </c>
      <c r="E51" s="212">
        <v>908.1192336737087</v>
      </c>
      <c r="F51" s="212">
        <v>10.926671186585395</v>
      </c>
      <c r="G51" s="212">
        <v>-542.002652316652</v>
      </c>
      <c r="H51" s="213">
        <v>1.217873580705504</v>
      </c>
      <c r="I51" s="213">
        <v>14.218726349160216</v>
      </c>
      <c r="J51" s="213">
        <v>-0.19346905661464797</v>
      </c>
      <c r="K51" s="247">
        <v>-37.376351433141174</v>
      </c>
      <c r="L51" s="156"/>
    </row>
    <row r="52" spans="1:12" ht="9.75">
      <c r="A52" s="156"/>
      <c r="B52" s="167" t="s">
        <v>57</v>
      </c>
      <c r="C52" s="214">
        <v>747.9127111800001</v>
      </c>
      <c r="D52" s="214">
        <v>235.17020596999998</v>
      </c>
      <c r="E52" s="214">
        <v>245.70423519</v>
      </c>
      <c r="F52" s="214">
        <v>10.534029220000008</v>
      </c>
      <c r="G52" s="214">
        <v>-502.2084759900001</v>
      </c>
      <c r="H52" s="215">
        <v>4.479321339431834</v>
      </c>
      <c r="I52" s="215">
        <v>47.94926984438605</v>
      </c>
      <c r="J52" s="215">
        <v>2.925477025805079</v>
      </c>
      <c r="K52" s="248">
        <v>-67.14800650969731</v>
      </c>
      <c r="L52" s="156"/>
    </row>
    <row r="53" spans="1:12" ht="9.75">
      <c r="A53" s="156"/>
      <c r="B53" s="167" t="s">
        <v>58</v>
      </c>
      <c r="C53" s="214">
        <v>457.966</v>
      </c>
      <c r="D53" s="214">
        <v>439.39217575</v>
      </c>
      <c r="E53" s="214">
        <v>442.24792972999995</v>
      </c>
      <c r="F53" s="214">
        <v>2.8557539799999745</v>
      </c>
      <c r="G53" s="214">
        <v>-15.718070270000055</v>
      </c>
      <c r="H53" s="215">
        <v>0.649932824845021</v>
      </c>
      <c r="I53" s="215">
        <v>-3.392136845281657</v>
      </c>
      <c r="J53" s="215">
        <v>-3.4341112329622114</v>
      </c>
      <c r="K53" s="248">
        <v>-3.4321478603215216</v>
      </c>
      <c r="L53" s="156"/>
    </row>
    <row r="54" spans="1:12" ht="9.75">
      <c r="A54" s="156"/>
      <c r="B54" s="167" t="s">
        <v>68</v>
      </c>
      <c r="C54" s="214">
        <v>244.24317481036041</v>
      </c>
      <c r="D54" s="214">
        <v>222.6301807671233</v>
      </c>
      <c r="E54" s="214">
        <v>220.16706875370866</v>
      </c>
      <c r="F54" s="214">
        <v>-2.4631120134146443</v>
      </c>
      <c r="G54" s="214">
        <v>-24.076106056651753</v>
      </c>
      <c r="H54" s="215">
        <v>-1.1063693183590055</v>
      </c>
      <c r="I54" s="215">
        <v>12.323928828645858</v>
      </c>
      <c r="J54" s="215">
        <v>3.343285529728557</v>
      </c>
      <c r="K54" s="248">
        <v>-9.857432485204697</v>
      </c>
      <c r="L54" s="156"/>
    </row>
    <row r="55" spans="1:12" ht="9.75">
      <c r="A55" s="156"/>
      <c r="B55" s="167" t="s">
        <v>71</v>
      </c>
      <c r="C55" s="214">
        <v>0</v>
      </c>
      <c r="D55" s="214">
        <v>0</v>
      </c>
      <c r="E55" s="214">
        <v>0</v>
      </c>
      <c r="F55" s="214">
        <v>0</v>
      </c>
      <c r="G55" s="214">
        <v>0</v>
      </c>
      <c r="H55" s="215">
        <v>0</v>
      </c>
      <c r="I55" s="215">
        <v>0</v>
      </c>
      <c r="J55" s="215">
        <v>0</v>
      </c>
      <c r="K55" s="248">
        <v>0</v>
      </c>
      <c r="L55" s="156"/>
    </row>
    <row r="56" spans="1:12" ht="9.75">
      <c r="A56" s="156"/>
      <c r="B56" s="166" t="s">
        <v>72</v>
      </c>
      <c r="C56" s="212">
        <v>38659.287867937965</v>
      </c>
      <c r="D56" s="212">
        <v>43904.429384620234</v>
      </c>
      <c r="E56" s="212">
        <v>44596.916692133855</v>
      </c>
      <c r="F56" s="212">
        <v>692.4873075136202</v>
      </c>
      <c r="G56" s="212">
        <v>5937.62882419589</v>
      </c>
      <c r="H56" s="213">
        <v>1.5772606937836646</v>
      </c>
      <c r="I56" s="213">
        <v>10.768783741141474</v>
      </c>
      <c r="J56" s="213">
        <v>12.591960198465202</v>
      </c>
      <c r="K56" s="247">
        <v>15.358867562380162</v>
      </c>
      <c r="L56" s="156"/>
    </row>
    <row r="57" spans="1:12" ht="9.75">
      <c r="A57" s="156"/>
      <c r="B57" s="167" t="s">
        <v>73</v>
      </c>
      <c r="C57" s="214">
        <v>24179.464785919998</v>
      </c>
      <c r="D57" s="214">
        <v>27908.930756231915</v>
      </c>
      <c r="E57" s="214">
        <v>27937.757102665208</v>
      </c>
      <c r="F57" s="214">
        <v>28.8263464332922</v>
      </c>
      <c r="G57" s="214">
        <v>3758.29231674521</v>
      </c>
      <c r="H57" s="215">
        <v>0.10328717601212807</v>
      </c>
      <c r="I57" s="215">
        <v>12.73506095835999</v>
      </c>
      <c r="J57" s="215">
        <v>12.384798767058424</v>
      </c>
      <c r="K57" s="248">
        <v>15.543323022326415</v>
      </c>
      <c r="L57" s="156"/>
    </row>
    <row r="58" spans="1:12" ht="9.75">
      <c r="A58" s="156"/>
      <c r="B58" s="171" t="s">
        <v>74</v>
      </c>
      <c r="C58" s="214">
        <v>14269.20417704</v>
      </c>
      <c r="D58" s="214">
        <v>17976.99614049192</v>
      </c>
      <c r="E58" s="214">
        <v>16394.431309225205</v>
      </c>
      <c r="F58" s="214">
        <v>-1582.5648312667145</v>
      </c>
      <c r="G58" s="214">
        <v>2125.227132185206</v>
      </c>
      <c r="H58" s="215">
        <v>-8.803277360126359</v>
      </c>
      <c r="I58" s="215">
        <v>18.235172325818883</v>
      </c>
      <c r="J58" s="215">
        <v>25.0710352997358</v>
      </c>
      <c r="K58" s="248">
        <v>14.893802806500055</v>
      </c>
      <c r="L58" s="156"/>
    </row>
    <row r="59" spans="1:12" ht="9.75">
      <c r="A59" s="156"/>
      <c r="B59" s="171" t="s">
        <v>71</v>
      </c>
      <c r="C59" s="214">
        <v>9910.26060888</v>
      </c>
      <c r="D59" s="214">
        <v>9931.934615739998</v>
      </c>
      <c r="E59" s="214">
        <v>11543.32579344</v>
      </c>
      <c r="F59" s="214">
        <v>1611.391177700003</v>
      </c>
      <c r="G59" s="214">
        <v>1633.0651845600005</v>
      </c>
      <c r="H59" s="215">
        <v>16.22434339374619</v>
      </c>
      <c r="I59" s="215">
        <v>3.5822321444113125</v>
      </c>
      <c r="J59" s="215">
        <v>-5.047875633531151</v>
      </c>
      <c r="K59" s="248">
        <v>16.478529162963753</v>
      </c>
      <c r="L59" s="156"/>
    </row>
    <row r="60" spans="1:12" ht="9.75">
      <c r="A60" s="156"/>
      <c r="B60" s="167" t="s">
        <v>113</v>
      </c>
      <c r="C60" s="214">
        <v>1194.9459513900001</v>
      </c>
      <c r="D60" s="214">
        <v>913.0631622799999</v>
      </c>
      <c r="E60" s="214">
        <v>1022.5662869299999</v>
      </c>
      <c r="F60" s="214">
        <v>109.50312465000002</v>
      </c>
      <c r="G60" s="214">
        <v>-172.37966446000019</v>
      </c>
      <c r="H60" s="215">
        <v>11.992940814363925</v>
      </c>
      <c r="I60" s="215">
        <v>-28.04400721474718</v>
      </c>
      <c r="J60" s="215">
        <v>-5.30186503345319</v>
      </c>
      <c r="K60" s="248">
        <v>-14.425728984602404</v>
      </c>
      <c r="L60" s="156"/>
    </row>
    <row r="61" spans="1:12" ht="9.75">
      <c r="A61" s="156"/>
      <c r="B61" s="167" t="s">
        <v>131</v>
      </c>
      <c r="C61" s="214">
        <v>5.99058461</v>
      </c>
      <c r="D61" s="214">
        <v>3.923991221803279</v>
      </c>
      <c r="E61" s="214">
        <v>3.9309011150360655</v>
      </c>
      <c r="F61" s="214">
        <v>0.006909893232786679</v>
      </c>
      <c r="G61" s="214">
        <v>-2.0596834949639344</v>
      </c>
      <c r="H61" s="215">
        <v>0.17609349364474935</v>
      </c>
      <c r="I61" s="215">
        <v>-33.128983950182715</v>
      </c>
      <c r="J61" s="215">
        <v>-33.128983950182715</v>
      </c>
      <c r="K61" s="248">
        <v>-34.382011590750814</v>
      </c>
      <c r="L61" s="156"/>
    </row>
    <row r="62" spans="1:12" ht="9.75">
      <c r="A62" s="156"/>
      <c r="B62" s="167" t="s">
        <v>132</v>
      </c>
      <c r="C62" s="214">
        <v>5079.776803424657</v>
      </c>
      <c r="D62" s="214">
        <v>6135.2968452847945</v>
      </c>
      <c r="E62" s="214">
        <v>6633.91941554</v>
      </c>
      <c r="F62" s="214">
        <v>498.6225702552056</v>
      </c>
      <c r="G62" s="214">
        <v>1554.1426121153427</v>
      </c>
      <c r="H62" s="215">
        <v>8.12711402282704</v>
      </c>
      <c r="I62" s="215">
        <v>8.14876343412363</v>
      </c>
      <c r="J62" s="215">
        <v>16.524275628609473</v>
      </c>
      <c r="K62" s="248">
        <v>30.5947027252768</v>
      </c>
      <c r="L62" s="156"/>
    </row>
    <row r="63" spans="1:12" ht="9.75">
      <c r="A63" s="156"/>
      <c r="B63" s="167" t="s">
        <v>100</v>
      </c>
      <c r="C63" s="214">
        <v>587.226019</v>
      </c>
      <c r="D63" s="214">
        <v>553.3548565704991</v>
      </c>
      <c r="E63" s="214">
        <v>490.8389664251192</v>
      </c>
      <c r="F63" s="214">
        <v>-62.5158901453799</v>
      </c>
      <c r="G63" s="214">
        <v>-96.38705257488073</v>
      </c>
      <c r="H63" s="215">
        <v>-11.297612987953451</v>
      </c>
      <c r="I63" s="215">
        <v>9.858259942626791</v>
      </c>
      <c r="J63" s="215">
        <v>5.5283137861413145</v>
      </c>
      <c r="K63" s="248">
        <v>-16.413961482670736</v>
      </c>
      <c r="L63" s="156"/>
    </row>
    <row r="64" spans="1:12" ht="9.75">
      <c r="A64" s="156"/>
      <c r="B64" s="167" t="s">
        <v>101</v>
      </c>
      <c r="C64" s="214">
        <v>785.7318747300001</v>
      </c>
      <c r="D64" s="214">
        <v>694.956038</v>
      </c>
      <c r="E64" s="214">
        <v>415.61670709000003</v>
      </c>
      <c r="F64" s="214">
        <v>-279.33933091</v>
      </c>
      <c r="G64" s="214">
        <v>-370.11516764000004</v>
      </c>
      <c r="H64" s="215">
        <v>-40.19525202110698</v>
      </c>
      <c r="I64" s="215">
        <v>-19.844451710610812</v>
      </c>
      <c r="J64" s="215">
        <v>10.796854932097478</v>
      </c>
      <c r="K64" s="248">
        <v>-47.104512307990845</v>
      </c>
      <c r="L64" s="156"/>
    </row>
    <row r="65" spans="1:12" ht="9.75">
      <c r="A65" s="156"/>
      <c r="B65" s="167" t="s">
        <v>68</v>
      </c>
      <c r="C65" s="214">
        <v>6.923</v>
      </c>
      <c r="D65" s="214">
        <v>6.86151209</v>
      </c>
      <c r="E65" s="214">
        <v>6.86151209</v>
      </c>
      <c r="F65" s="214">
        <v>0</v>
      </c>
      <c r="G65" s="214">
        <v>-0.06148791000000031</v>
      </c>
      <c r="H65" s="215">
        <v>0</v>
      </c>
      <c r="I65" s="215">
        <v>39.37664208815763</v>
      </c>
      <c r="J65" s="215">
        <v>39.37664208815763</v>
      </c>
      <c r="K65" s="248">
        <v>-0.8881685685396601</v>
      </c>
      <c r="L65" s="156"/>
    </row>
    <row r="66" spans="1:12" ht="9.75">
      <c r="A66" s="156"/>
      <c r="B66" s="167" t="s">
        <v>165</v>
      </c>
      <c r="C66" s="214">
        <v>0</v>
      </c>
      <c r="D66" s="214">
        <v>0</v>
      </c>
      <c r="E66" s="214">
        <v>0</v>
      </c>
      <c r="F66" s="214">
        <v>0</v>
      </c>
      <c r="G66" s="214">
        <v>0</v>
      </c>
      <c r="H66" s="215">
        <v>0</v>
      </c>
      <c r="I66" s="215">
        <v>0</v>
      </c>
      <c r="J66" s="215">
        <v>0</v>
      </c>
      <c r="K66" s="248">
        <v>0</v>
      </c>
      <c r="L66" s="156"/>
    </row>
    <row r="67" spans="1:12" ht="9.75">
      <c r="A67" s="156"/>
      <c r="B67" s="167" t="s">
        <v>66</v>
      </c>
      <c r="C67" s="214">
        <v>4903.657170850026</v>
      </c>
      <c r="D67" s="214">
        <v>5457.053771863701</v>
      </c>
      <c r="E67" s="214">
        <v>5618.910794902501</v>
      </c>
      <c r="F67" s="214">
        <v>161.85702303880043</v>
      </c>
      <c r="G67" s="214">
        <v>715.2536240524751</v>
      </c>
      <c r="H67" s="215">
        <v>2.966014809553962</v>
      </c>
      <c r="I67" s="215">
        <v>17.062474909458757</v>
      </c>
      <c r="J67" s="215">
        <v>18.033535191918503</v>
      </c>
      <c r="K67" s="248">
        <v>14.586126214212669</v>
      </c>
      <c r="L67" s="156"/>
    </row>
    <row r="68" spans="1:12" ht="9.75">
      <c r="A68" s="156"/>
      <c r="B68" s="167" t="s">
        <v>102</v>
      </c>
      <c r="C68" s="214">
        <v>1913.6751360673913</v>
      </c>
      <c r="D68" s="214">
        <v>2227.9877245963</v>
      </c>
      <c r="E68" s="214">
        <v>2493.5197846975</v>
      </c>
      <c r="F68" s="214">
        <v>265.5320601012004</v>
      </c>
      <c r="G68" s="214">
        <v>579.8446486301088</v>
      </c>
      <c r="H68" s="215">
        <v>11.918021682516832</v>
      </c>
      <c r="I68" s="215">
        <v>13.8744348290198</v>
      </c>
      <c r="J68" s="215">
        <v>3.8312477218630736</v>
      </c>
      <c r="K68" s="248">
        <v>30.300056561412593</v>
      </c>
      <c r="L68" s="156"/>
    </row>
    <row r="69" spans="1:12" ht="11.25" customHeight="1" hidden="1">
      <c r="A69" s="156"/>
      <c r="B69" s="167" t="s">
        <v>103</v>
      </c>
      <c r="C69" s="214"/>
      <c r="D69" s="214"/>
      <c r="E69" s="214"/>
      <c r="F69" s="214"/>
      <c r="G69" s="214"/>
      <c r="H69" s="215"/>
      <c r="I69" s="215"/>
      <c r="J69" s="215"/>
      <c r="K69" s="248"/>
      <c r="L69" s="156"/>
    </row>
    <row r="70" spans="1:12" ht="12" customHeight="1" hidden="1">
      <c r="A70" s="156"/>
      <c r="B70" s="167" t="s">
        <v>103</v>
      </c>
      <c r="C70" s="203"/>
      <c r="D70" s="203"/>
      <c r="E70" s="203"/>
      <c r="F70" s="203"/>
      <c r="G70" s="203"/>
      <c r="H70" s="203"/>
      <c r="I70" s="203"/>
      <c r="J70" s="203"/>
      <c r="K70" s="249"/>
      <c r="L70" s="156"/>
    </row>
    <row r="71" spans="1:12" ht="12" customHeight="1" hidden="1" thickBot="1">
      <c r="A71" s="156"/>
      <c r="B71" s="172"/>
      <c r="C71" s="204"/>
      <c r="D71" s="204"/>
      <c r="E71" s="204"/>
      <c r="F71" s="204"/>
      <c r="G71" s="204"/>
      <c r="H71" s="204"/>
      <c r="I71" s="204"/>
      <c r="J71" s="204"/>
      <c r="K71" s="250"/>
      <c r="L71" s="156"/>
    </row>
    <row r="72" spans="1:12" ht="12" customHeight="1" hidden="1">
      <c r="A72" s="156"/>
      <c r="B72" s="172"/>
      <c r="C72" s="60"/>
      <c r="D72" s="60"/>
      <c r="E72" s="60"/>
      <c r="F72" s="60"/>
      <c r="G72" s="39"/>
      <c r="H72" s="39"/>
      <c r="I72" s="39"/>
      <c r="J72" s="39"/>
      <c r="K72" s="117"/>
      <c r="L72" s="156"/>
    </row>
    <row r="73" spans="1:12" ht="12" customHeight="1" thickBot="1">
      <c r="A73" s="156"/>
      <c r="B73" s="173"/>
      <c r="C73" s="174"/>
      <c r="D73" s="174"/>
      <c r="E73" s="174"/>
      <c r="F73" s="174"/>
      <c r="G73" s="41"/>
      <c r="H73" s="41"/>
      <c r="I73" s="41"/>
      <c r="J73" s="41"/>
      <c r="K73" s="121"/>
      <c r="L73" s="156"/>
    </row>
    <row r="74" ht="9.75">
      <c r="B74" s="59"/>
    </row>
    <row r="75" ht="9.75">
      <c r="B75" s="55"/>
    </row>
    <row r="76" ht="10.5" thickBot="1">
      <c r="B76" s="55"/>
    </row>
    <row r="77" spans="2:12" ht="9.75">
      <c r="B77" s="285" t="s">
        <v>78</v>
      </c>
      <c r="C77" s="286"/>
      <c r="D77" s="286"/>
      <c r="E77" s="286"/>
      <c r="F77" s="286"/>
      <c r="G77" s="286"/>
      <c r="H77" s="286"/>
      <c r="I77" s="286"/>
      <c r="J77" s="286"/>
      <c r="K77" s="287"/>
      <c r="L77" s="156"/>
    </row>
    <row r="78" spans="2:12" ht="10.5" thickBot="1">
      <c r="B78" s="306" t="s">
        <v>127</v>
      </c>
      <c r="C78" s="307"/>
      <c r="D78" s="307"/>
      <c r="E78" s="307"/>
      <c r="F78" s="307"/>
      <c r="G78" s="307"/>
      <c r="H78" s="307"/>
      <c r="I78" s="307"/>
      <c r="J78" s="307"/>
      <c r="K78" s="308"/>
      <c r="L78" s="156"/>
    </row>
    <row r="79" spans="2:12" ht="9.75">
      <c r="B79" s="158"/>
      <c r="C79" s="157"/>
      <c r="D79" s="44"/>
      <c r="E79" s="157"/>
      <c r="F79" s="281" t="s">
        <v>118</v>
      </c>
      <c r="G79" s="305"/>
      <c r="H79" s="179" t="s">
        <v>146</v>
      </c>
      <c r="I79" s="281" t="s">
        <v>149</v>
      </c>
      <c r="J79" s="282"/>
      <c r="K79" s="283"/>
      <c r="L79" s="156"/>
    </row>
    <row r="80" spans="2:12" ht="9.75">
      <c r="B80" s="159"/>
      <c r="C80" s="12">
        <f>C33</f>
        <v>39383</v>
      </c>
      <c r="D80" s="111">
        <f>D33</f>
        <v>39719</v>
      </c>
      <c r="E80" s="12">
        <f>E33</f>
        <v>39731</v>
      </c>
      <c r="F80" s="12" t="s">
        <v>121</v>
      </c>
      <c r="G80" s="102" t="s">
        <v>120</v>
      </c>
      <c r="H80" s="102" t="s">
        <v>150</v>
      </c>
      <c r="I80" s="12">
        <f>I33</f>
        <v>39661</v>
      </c>
      <c r="J80" s="12">
        <f>J33</f>
        <v>39692</v>
      </c>
      <c r="K80" s="229">
        <f>K33</f>
        <v>39722</v>
      </c>
      <c r="L80" s="156"/>
    </row>
    <row r="81" spans="2:14" ht="9.75">
      <c r="B81" s="116" t="s">
        <v>56</v>
      </c>
      <c r="C81" s="216">
        <v>39499.3252620333</v>
      </c>
      <c r="D81" s="216">
        <v>46190.06957376338</v>
      </c>
      <c r="E81" s="216">
        <v>48552.6455654978</v>
      </c>
      <c r="F81" s="216">
        <v>2362.5759917344185</v>
      </c>
      <c r="G81" s="216">
        <v>9053.320303464498</v>
      </c>
      <c r="H81" s="217">
        <v>5.114900266520481</v>
      </c>
      <c r="I81" s="217">
        <v>12.116045463484237</v>
      </c>
      <c r="J81" s="217">
        <v>14.663495472931775</v>
      </c>
      <c r="K81" s="251">
        <v>22.92018975870085</v>
      </c>
      <c r="L81" s="57"/>
      <c r="M81" s="57"/>
      <c r="N81" s="56"/>
    </row>
    <row r="82" spans="2:14" ht="9.75">
      <c r="B82" s="116" t="s">
        <v>1</v>
      </c>
      <c r="C82" s="216">
        <v>7265.073806675529</v>
      </c>
      <c r="D82" s="216">
        <v>12578.666066883874</v>
      </c>
      <c r="E82" s="216">
        <v>16517.990429532914</v>
      </c>
      <c r="F82" s="216">
        <v>3939.3243626490403</v>
      </c>
      <c r="G82" s="216">
        <v>9252.916622857385</v>
      </c>
      <c r="H82" s="217">
        <v>31.31750490634444</v>
      </c>
      <c r="I82" s="217">
        <v>39.563242355083325</v>
      </c>
      <c r="J82" s="217">
        <v>60.74034854101653</v>
      </c>
      <c r="K82" s="251">
        <v>127.36163278004584</v>
      </c>
      <c r="L82" s="57"/>
      <c r="M82" s="57"/>
      <c r="N82" s="56"/>
    </row>
    <row r="83" spans="2:13" ht="9.75">
      <c r="B83" s="116" t="s">
        <v>75</v>
      </c>
      <c r="C83" s="216">
        <v>30383.264759569996</v>
      </c>
      <c r="D83" s="216">
        <v>31208.780691969507</v>
      </c>
      <c r="E83" s="216">
        <v>29701.147708164885</v>
      </c>
      <c r="F83" s="216">
        <v>-1507.6329838046222</v>
      </c>
      <c r="G83" s="216">
        <v>-682.1170514051119</v>
      </c>
      <c r="H83" s="217">
        <v>-4.830797456283062</v>
      </c>
      <c r="I83" s="217">
        <v>3.949836172091259</v>
      </c>
      <c r="J83" s="217">
        <v>3.2734437172182496</v>
      </c>
      <c r="K83" s="251">
        <v>-2.2450419887489637</v>
      </c>
      <c r="L83" s="175"/>
      <c r="M83" s="58"/>
    </row>
    <row r="84" spans="2:13" ht="9.75">
      <c r="B84" s="118" t="s">
        <v>166</v>
      </c>
      <c r="C84" s="218">
        <v>-2145.56189383</v>
      </c>
      <c r="D84" s="218">
        <v>-4283.0033029805</v>
      </c>
      <c r="E84" s="218">
        <v>-5836.12692793512</v>
      </c>
      <c r="F84" s="218">
        <v>-1553.12362495462</v>
      </c>
      <c r="G84" s="218">
        <v>-3690.56503410512</v>
      </c>
      <c r="H84" s="219">
        <v>36.26248954498393</v>
      </c>
      <c r="I84" s="219">
        <v>163.6197030919292</v>
      </c>
      <c r="J84" s="219">
        <v>264.28095568685274</v>
      </c>
      <c r="K84" s="252">
        <v>172.00925523137278</v>
      </c>
      <c r="L84" s="175"/>
      <c r="M84" s="58"/>
    </row>
    <row r="85" spans="2:13" ht="9.75">
      <c r="B85" s="118" t="s">
        <v>167</v>
      </c>
      <c r="C85" s="218">
        <v>32528.826653399996</v>
      </c>
      <c r="D85" s="218">
        <v>35491.783994950005</v>
      </c>
      <c r="E85" s="218">
        <v>35537.2746361</v>
      </c>
      <c r="F85" s="218">
        <v>45.49064114999783</v>
      </c>
      <c r="G85" s="218">
        <v>3008.447982700007</v>
      </c>
      <c r="H85" s="219">
        <v>0.12817231491229217</v>
      </c>
      <c r="I85" s="219">
        <v>12.979256548132568</v>
      </c>
      <c r="J85" s="219">
        <v>13.048072700400315</v>
      </c>
      <c r="K85" s="252">
        <v>9.248559792074618</v>
      </c>
      <c r="L85" s="175"/>
      <c r="M85" s="58"/>
    </row>
    <row r="86" spans="2:13" ht="9.75">
      <c r="B86" s="258" t="s">
        <v>50</v>
      </c>
      <c r="C86" s="218">
        <v>2893.57790411</v>
      </c>
      <c r="D86" s="218">
        <v>3028.88303276</v>
      </c>
      <c r="E86" s="218">
        <v>2634.9635329599996</v>
      </c>
      <c r="F86" s="218">
        <v>-393.91949980000027</v>
      </c>
      <c r="G86" s="218">
        <v>-258.61437115000035</v>
      </c>
      <c r="H86" s="219">
        <v>-13.005437831022817</v>
      </c>
      <c r="I86" s="219">
        <v>25.345275384806932</v>
      </c>
      <c r="J86" s="219">
        <v>25.882721015412823</v>
      </c>
      <c r="K86" s="252">
        <v>-8.937529236129016</v>
      </c>
      <c r="L86" s="175"/>
      <c r="M86" s="58"/>
    </row>
    <row r="87" spans="2:13" ht="9.75">
      <c r="B87" s="258" t="s">
        <v>168</v>
      </c>
      <c r="C87" s="218">
        <v>21.682</v>
      </c>
      <c r="D87" s="218">
        <v>67.23609904</v>
      </c>
      <c r="E87" s="218">
        <v>89.68171382</v>
      </c>
      <c r="F87" s="218">
        <v>22.44561478</v>
      </c>
      <c r="G87" s="218">
        <v>67.99971382</v>
      </c>
      <c r="H87" s="219">
        <v>33.383279369980535</v>
      </c>
      <c r="I87" s="219">
        <v>49.532369417693744</v>
      </c>
      <c r="J87" s="219">
        <v>40.861684069387415</v>
      </c>
      <c r="K87" s="252">
        <v>313.62288451249884</v>
      </c>
      <c r="L87" s="175"/>
      <c r="M87" s="58"/>
    </row>
    <row r="88" spans="2:13" ht="9.75">
      <c r="B88" s="258" t="s">
        <v>169</v>
      </c>
      <c r="C88" s="218">
        <v>205.031</v>
      </c>
      <c r="D88" s="218">
        <v>454.07150500999995</v>
      </c>
      <c r="E88" s="218">
        <v>484.97809409</v>
      </c>
      <c r="F88" s="218">
        <v>30.90658908000006</v>
      </c>
      <c r="G88" s="218">
        <v>279.94709409</v>
      </c>
      <c r="H88" s="219">
        <v>6.806546708831555</v>
      </c>
      <c r="I88" s="219">
        <v>271.00692060932363</v>
      </c>
      <c r="J88" s="219">
        <v>243.76959330284808</v>
      </c>
      <c r="K88" s="252">
        <v>136.53891074520436</v>
      </c>
      <c r="L88" s="175"/>
      <c r="M88" s="58"/>
    </row>
    <row r="89" spans="2:13" ht="9.75">
      <c r="B89" s="258" t="s">
        <v>145</v>
      </c>
      <c r="C89" s="218">
        <v>9907.26547875</v>
      </c>
      <c r="D89" s="218">
        <v>10871.555476439999</v>
      </c>
      <c r="E89" s="218">
        <v>10978.490238930002</v>
      </c>
      <c r="F89" s="218">
        <v>106.93476249000378</v>
      </c>
      <c r="G89" s="218">
        <v>1071.2247601800027</v>
      </c>
      <c r="H89" s="219">
        <v>0.9836197103693634</v>
      </c>
      <c r="I89" s="219">
        <v>13.154855083774475</v>
      </c>
      <c r="J89" s="219">
        <v>13.857979710733126</v>
      </c>
      <c r="K89" s="252">
        <v>10.812516960181018</v>
      </c>
      <c r="L89" s="175"/>
      <c r="M89" s="58"/>
    </row>
    <row r="90" spans="2:13" ht="9.75">
      <c r="B90" s="258" t="s">
        <v>51</v>
      </c>
      <c r="C90" s="218">
        <v>19501.270270539997</v>
      </c>
      <c r="D90" s="218">
        <v>21065.1848817</v>
      </c>
      <c r="E90" s="218">
        <v>21344.3080563</v>
      </c>
      <c r="F90" s="218">
        <v>279.1231746000012</v>
      </c>
      <c r="G90" s="218">
        <v>1843.0377857600033</v>
      </c>
      <c r="H90" s="219">
        <v>1.325044979037827</v>
      </c>
      <c r="I90" s="219">
        <v>9.780200852082688</v>
      </c>
      <c r="J90" s="219">
        <v>9.366913079117944</v>
      </c>
      <c r="K90" s="252">
        <v>9.450860175730336</v>
      </c>
      <c r="L90" s="175"/>
      <c r="M90" s="58"/>
    </row>
    <row r="91" spans="2:13" ht="9.75">
      <c r="B91" s="258" t="s">
        <v>162</v>
      </c>
      <c r="C91" s="218">
        <v>0</v>
      </c>
      <c r="D91" s="218">
        <v>4.853</v>
      </c>
      <c r="E91" s="218">
        <v>4.853</v>
      </c>
      <c r="F91" s="218">
        <v>0</v>
      </c>
      <c r="G91" s="218">
        <v>4.853</v>
      </c>
      <c r="H91" s="219">
        <v>0</v>
      </c>
      <c r="I91" s="219">
        <v>0</v>
      </c>
      <c r="J91" s="219">
        <v>0</v>
      </c>
      <c r="K91" s="252">
        <v>0</v>
      </c>
      <c r="L91" s="175"/>
      <c r="M91" s="58"/>
    </row>
    <row r="92" spans="2:14" ht="9.75">
      <c r="B92" s="115" t="s">
        <v>170</v>
      </c>
      <c r="C92" s="218">
        <v>1850.9866957877778</v>
      </c>
      <c r="D92" s="218">
        <v>2402.62281491</v>
      </c>
      <c r="E92" s="218">
        <v>2333.5074278</v>
      </c>
      <c r="F92" s="218">
        <v>-69.11538711000003</v>
      </c>
      <c r="G92" s="218">
        <v>482.5207320122224</v>
      </c>
      <c r="H92" s="219">
        <v>-2.8766640640007832</v>
      </c>
      <c r="I92" s="219">
        <v>16.97374231143818</v>
      </c>
      <c r="J92" s="219">
        <v>7.349345111846839</v>
      </c>
      <c r="K92" s="252">
        <v>26.06829822765755</v>
      </c>
      <c r="L92" s="57"/>
      <c r="M92" s="57"/>
      <c r="N92" s="56"/>
    </row>
    <row r="93" spans="2:13" ht="9.75">
      <c r="B93" s="115"/>
      <c r="C93" s="218"/>
      <c r="D93" s="218"/>
      <c r="E93" s="218"/>
      <c r="F93" s="216"/>
      <c r="G93" s="216"/>
      <c r="H93" s="217"/>
      <c r="I93" s="217"/>
      <c r="J93" s="217"/>
      <c r="K93" s="251"/>
      <c r="L93" s="175"/>
      <c r="M93" s="58"/>
    </row>
    <row r="94" spans="2:14" ht="9.75">
      <c r="B94" s="116" t="s">
        <v>62</v>
      </c>
      <c r="C94" s="216">
        <v>39499.37215129797</v>
      </c>
      <c r="D94" s="216">
        <v>46190.073255959745</v>
      </c>
      <c r="E94" s="216">
        <v>48552.65325791873</v>
      </c>
      <c r="F94" s="216">
        <v>2362.580001958988</v>
      </c>
      <c r="G94" s="216">
        <v>9053.281106620765</v>
      </c>
      <c r="H94" s="217">
        <v>5.114908540774294</v>
      </c>
      <c r="I94" s="217">
        <v>12.116228546317597</v>
      </c>
      <c r="J94" s="217">
        <v>14.66361413306796</v>
      </c>
      <c r="K94" s="251">
        <v>22.92006331630583</v>
      </c>
      <c r="L94" s="57"/>
      <c r="M94" s="57"/>
      <c r="N94" s="56"/>
    </row>
    <row r="95" spans="2:13" ht="9.75">
      <c r="B95" s="116" t="s">
        <v>76</v>
      </c>
      <c r="C95" s="216">
        <v>24992.01576222</v>
      </c>
      <c r="D95" s="216">
        <v>28989.25402354372</v>
      </c>
      <c r="E95" s="216">
        <v>29175.939920890236</v>
      </c>
      <c r="F95" s="216">
        <v>186.68589734651687</v>
      </c>
      <c r="G95" s="216">
        <v>4183.924158670237</v>
      </c>
      <c r="H95" s="217">
        <v>0.6439831021346714</v>
      </c>
      <c r="I95" s="217">
        <v>12.979826484115087</v>
      </c>
      <c r="J95" s="217">
        <v>12.793874116750636</v>
      </c>
      <c r="K95" s="251">
        <v>16.74104321346901</v>
      </c>
      <c r="L95" s="175"/>
      <c r="M95" s="58"/>
    </row>
    <row r="96" spans="2:13" ht="9.75">
      <c r="B96" s="118" t="s">
        <v>53</v>
      </c>
      <c r="C96" s="218">
        <v>806.54482616</v>
      </c>
      <c r="D96" s="218">
        <v>1076.3807224800003</v>
      </c>
      <c r="E96" s="218">
        <v>1234.2519171000001</v>
      </c>
      <c r="F96" s="218">
        <v>157.87119461999987</v>
      </c>
      <c r="G96" s="218">
        <v>427.70709094000017</v>
      </c>
      <c r="H96" s="219">
        <v>14.666854517448236</v>
      </c>
      <c r="I96" s="219">
        <v>19.971701185915116</v>
      </c>
      <c r="J96" s="219">
        <v>24.893774101317767</v>
      </c>
      <c r="K96" s="252">
        <v>53.02954988581787</v>
      </c>
      <c r="L96" s="175"/>
      <c r="M96" s="58"/>
    </row>
    <row r="97" spans="2:13" ht="9.75">
      <c r="B97" s="118" t="s">
        <v>54</v>
      </c>
      <c r="C97" s="218">
        <v>14269.21974257</v>
      </c>
      <c r="D97" s="218">
        <v>17977.01469410192</v>
      </c>
      <c r="E97" s="218">
        <v>16394.431309235202</v>
      </c>
      <c r="F97" s="218">
        <v>-1582.583384866717</v>
      </c>
      <c r="G97" s="218">
        <v>2125.2115666652026</v>
      </c>
      <c r="H97" s="219">
        <v>-8.80337148183979</v>
      </c>
      <c r="I97" s="219">
        <v>18.23395203520186</v>
      </c>
      <c r="J97" s="219">
        <v>25.071025329672004</v>
      </c>
      <c r="K97" s="252">
        <v>14.893677475054679</v>
      </c>
      <c r="L97" s="175"/>
      <c r="M97" s="58"/>
    </row>
    <row r="98" spans="2:13" ht="9.75">
      <c r="B98" s="118" t="s">
        <v>55</v>
      </c>
      <c r="C98" s="218">
        <v>9910.26060888</v>
      </c>
      <c r="D98" s="218">
        <v>9931.934615739998</v>
      </c>
      <c r="E98" s="218">
        <v>11543.32579344</v>
      </c>
      <c r="F98" s="218">
        <v>1611.391177700003</v>
      </c>
      <c r="G98" s="218">
        <v>1633.0651845600005</v>
      </c>
      <c r="H98" s="219">
        <v>16.22434339374619</v>
      </c>
      <c r="I98" s="219">
        <v>3.5822321444113125</v>
      </c>
      <c r="J98" s="219">
        <v>-5.047875633531151</v>
      </c>
      <c r="K98" s="252">
        <v>16.478529162963753</v>
      </c>
      <c r="L98" s="175"/>
      <c r="M98" s="58"/>
    </row>
    <row r="99" spans="2:13" ht="9.75">
      <c r="B99" s="118" t="s">
        <v>112</v>
      </c>
      <c r="C99" s="218">
        <v>5.99058461</v>
      </c>
      <c r="D99" s="218">
        <v>3.923991221803279</v>
      </c>
      <c r="E99" s="218">
        <v>3.9309011150360655</v>
      </c>
      <c r="F99" s="218">
        <v>0.006909893232786679</v>
      </c>
      <c r="G99" s="218">
        <v>-2.0596834949639344</v>
      </c>
      <c r="H99" s="219">
        <v>0.17609349364474935</v>
      </c>
      <c r="I99" s="219">
        <v>-33.128983950182715</v>
      </c>
      <c r="J99" s="219">
        <v>-33.128983950182715</v>
      </c>
      <c r="K99" s="252">
        <v>-34.382011590750814</v>
      </c>
      <c r="L99" s="175"/>
      <c r="M99" s="58"/>
    </row>
    <row r="100" spans="2:14" ht="9.75">
      <c r="B100" s="115" t="s">
        <v>102</v>
      </c>
      <c r="C100" s="218">
        <v>14513.346973687967</v>
      </c>
      <c r="D100" s="218">
        <v>17204.74322363783</v>
      </c>
      <c r="E100" s="218">
        <v>19380.644238143534</v>
      </c>
      <c r="F100" s="218">
        <v>2175.9010145057036</v>
      </c>
      <c r="G100" s="218">
        <v>4867.297264455567</v>
      </c>
      <c r="H100" s="219">
        <v>12.6470996179484</v>
      </c>
      <c r="I100" s="219">
        <v>10.6330626026222</v>
      </c>
      <c r="J100" s="219">
        <v>17.938515524990596</v>
      </c>
      <c r="K100" s="252">
        <v>33.536697450145404</v>
      </c>
      <c r="L100" s="57"/>
      <c r="M100" s="57"/>
      <c r="N100" s="56"/>
    </row>
    <row r="101" spans="2:13" ht="10.5" thickBot="1">
      <c r="B101" s="176"/>
      <c r="C101" s="226"/>
      <c r="D101" s="226"/>
      <c r="E101" s="226"/>
      <c r="F101" s="227"/>
      <c r="G101" s="227"/>
      <c r="H101" s="228"/>
      <c r="I101" s="228"/>
      <c r="J101" s="228"/>
      <c r="K101" s="253"/>
      <c r="L101" s="175"/>
      <c r="M101" s="58"/>
    </row>
    <row r="102" spans="2:11" ht="12" customHeight="1" hidden="1" thickBot="1">
      <c r="B102" s="40" t="s">
        <v>77</v>
      </c>
      <c r="C102" s="220">
        <v>-0.02241342821798753</v>
      </c>
      <c r="D102" s="220">
        <v>-0.04190398721402744</v>
      </c>
      <c r="E102" s="220">
        <v>-0.017016961370245554</v>
      </c>
      <c r="F102" s="220">
        <v>0.024887025843781885</v>
      </c>
      <c r="G102" s="220">
        <v>0.005396466847741976</v>
      </c>
      <c r="H102" s="220">
        <v>6.314336995538739E-05</v>
      </c>
      <c r="I102" s="220">
        <v>-0.00017943695699784712</v>
      </c>
      <c r="J102" s="220">
        <v>-0.00017625866459880513</v>
      </c>
      <c r="K102" s="220">
        <v>2.6387598804689105E-05</v>
      </c>
    </row>
    <row r="103" spans="2:11" ht="9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</sheetData>
  <sheetProtection/>
  <mergeCells count="12">
    <mergeCell ref="I4:K4"/>
    <mergeCell ref="I32:K32"/>
    <mergeCell ref="I79:K79"/>
    <mergeCell ref="F32:G32"/>
    <mergeCell ref="F79:G79"/>
    <mergeCell ref="B2:K2"/>
    <mergeCell ref="B3:K3"/>
    <mergeCell ref="B77:K77"/>
    <mergeCell ref="B78:K78"/>
    <mergeCell ref="B30:K30"/>
    <mergeCell ref="B31:K31"/>
    <mergeCell ref="F4:G4"/>
  </mergeCells>
  <printOptions/>
  <pageMargins left="0.75" right="0.75" top="1" bottom="1" header="0.5" footer="0.5"/>
  <pageSetup fitToHeight="2" fitToWidth="1" horizontalDpi="1200" verticalDpi="12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Steytler</dc:creator>
  <cp:keywords/>
  <dc:description/>
  <cp:lastModifiedBy>fil489</cp:lastModifiedBy>
  <cp:lastPrinted>2008-12-05T08:21:13Z</cp:lastPrinted>
  <dcterms:created xsi:type="dcterms:W3CDTF">1999-07-02T10:21:54Z</dcterms:created>
  <dcterms:modified xsi:type="dcterms:W3CDTF">2008-12-05T10:56:15Z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569358770</vt:i4>
  </property>
  <property fmtid="{D5CDD505-2E9C-101B-9397-08002B2CF9AE}" pid="3" name="_EmailSubject">
    <vt:lpwstr>September   2003.xls</vt:lpwstr>
  </property>
  <property fmtid="{D5CDD505-2E9C-101B-9397-08002B2CF9AE}" pid="4" name="_AuthorEmail">
    <vt:lpwstr>Susan.Haihambo@BON.COM.NA</vt:lpwstr>
  </property>
  <property fmtid="{D5CDD505-2E9C-101B-9397-08002B2CF9AE}" pid="5" name="_AuthorEmailDisplayName">
    <vt:lpwstr>Susan Haihambo</vt:lpwstr>
  </property>
  <property fmtid="{D5CDD505-2E9C-101B-9397-08002B2CF9AE}" pid="6" name="_ReviewingToolsShownOnce">
    <vt:lpwstr/>
  </property>
</Properties>
</file>