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95" yWindow="1635" windowWidth="12990" windowHeight="5865" tabRatio="616" activeTab="3"/>
  </bookViews>
  <sheets>
    <sheet name="Coverpage" sheetId="1" r:id="rId1"/>
    <sheet name="S1" sheetId="2" r:id="rId2"/>
    <sheet name="S2" sheetId="3" r:id="rId3"/>
    <sheet name="S3" sheetId="4" r:id="rId4"/>
    <sheet name="S4" sheetId="5" r:id="rId5"/>
    <sheet name="S5" sheetId="6" r:id="rId6"/>
    <sheet name="S6" sheetId="7" r:id="rId7"/>
    <sheet name="S7" sheetId="8" r:id="rId8"/>
    <sheet name="S8" sheetId="9" r:id="rId9"/>
  </sheets>
  <externalReferences>
    <externalReference r:id="rId12"/>
    <externalReference r:id="rId13"/>
  </externalReferences>
  <definedNames>
    <definedName name="__123Graph_A" hidden="1">'[1]M1 M2 Chart'!$D$6:$D$70</definedName>
    <definedName name="__123Graph_B" hidden="1">'[1]M1 M2 Chart'!$E$6:$E$70</definedName>
    <definedName name="__123Graph_C" hidden="1">'[1]M1 M2 Chart'!$F$6:$F$70</definedName>
    <definedName name="__123Graph_D" hidden="1">'[1]M1 M2 Chart'!$G$6:$G$70</definedName>
    <definedName name="__123Graph_E" hidden="1">'[1]M1 M2 Chart'!$H$6:$H$70</definedName>
    <definedName name="__123Graph_F" hidden="1">'[1]M1 M2 Chart'!$I$6:$I$70</definedName>
    <definedName name="_xlnm.Print_Area" localSheetId="0">'Coverpage'!$A$2:$A$20</definedName>
    <definedName name="_xlnm.Print_Area" localSheetId="2">'S2'!$A$4:$Q$60</definedName>
    <definedName name="_xlnm.Print_Area" localSheetId="3">'S3'!$A$4:$R$86</definedName>
    <definedName name="_xlnm.Print_Area" localSheetId="4">'S4'!$A$1:$C$88</definedName>
    <definedName name="_xlnm.Print_Area" localSheetId="5">'S5'!$A$4:$P$66</definedName>
    <definedName name="_xlnm.Print_Area" localSheetId="6">'S6'!$B$4:$CF$20</definedName>
    <definedName name="_xlnm.Print_Area" localSheetId="7">'S7'!$A$4:$R$68</definedName>
    <definedName name="_xlnm.Print_Area" localSheetId="8">'S8'!$B$77:$K$102</definedName>
    <definedName name="Z_1119964D_FB32_11D4_9C51_0090277BCB1A_.wvu.Cols" localSheetId="6" hidden="1">'S6'!$B:$B</definedName>
    <definedName name="Z_1119964D_FB32_11D4_9C51_0090277BCB1A_.wvu.PrintArea" localSheetId="2" hidden="1">'S2'!$A$1:$L$24</definedName>
    <definedName name="Z_1119964D_FB32_11D4_9C51_0090277BCB1A_.wvu.PrintArea" localSheetId="4" hidden="1">'S4'!$A$2:$A$85</definedName>
    <definedName name="Z_1119964D_FB32_11D4_9C51_0090277BCB1A_.wvu.PrintArea" localSheetId="5" hidden="1">'S5'!$A$1:$J$41</definedName>
    <definedName name="Z_1119964D_FB32_11D4_9C51_0090277BCB1A_.wvu.PrintArea" localSheetId="6" hidden="1">'S6'!$B$2:$B$20</definedName>
    <definedName name="Z_1119964D_FB32_11D4_9C51_0090277BCB1A_.wvu.PrintArea" localSheetId="7" hidden="1">'S7'!$A$1:$J$60</definedName>
    <definedName name="Z_4BE07961_847F_11D4_A83A_00D0B7747A8F_.wvu.PrintArea" localSheetId="2" hidden="1">'S2'!$A$1:$L$24</definedName>
    <definedName name="Z_4BE07961_847F_11D4_A83A_00D0B7747A8F_.wvu.PrintArea" localSheetId="4" hidden="1">'S4'!$A$2:$A$85</definedName>
    <definedName name="Z_4BE07961_847F_11D4_A83A_00D0B7747A8F_.wvu.PrintArea" localSheetId="5" hidden="1">'S5'!$A$1:$J$41</definedName>
    <definedName name="Z_4BE07961_847F_11D4_A83A_00D0B7747A8F_.wvu.PrintArea" localSheetId="7" hidden="1">'S7'!$A$1:$J$60</definedName>
    <definedName name="Z_5050E6E2_8401_11D4_81A4_00608C91AED9_.wvu.Cols" localSheetId="6" hidden="1">'S6'!$B:$B</definedName>
    <definedName name="Z_5050E6E2_8401_11D4_81A4_00608C91AED9_.wvu.PrintArea" localSheetId="2" hidden="1">'S2'!$A$1:$L$24</definedName>
    <definedName name="Z_5050E6E2_8401_11D4_81A4_00608C91AED9_.wvu.PrintArea" localSheetId="4" hidden="1">'S4'!$A$2:$A$85</definedName>
    <definedName name="Z_5050E6E2_8401_11D4_81A4_00608C91AED9_.wvu.PrintArea" localSheetId="5" hidden="1">'S5'!$A$1:$J$41</definedName>
    <definedName name="Z_5050E6E2_8401_11D4_81A4_00608C91AED9_.wvu.PrintArea" localSheetId="6" hidden="1">'S6'!$B$2:$B$21</definedName>
    <definedName name="Z_5050E6E2_8401_11D4_81A4_00608C91AED9_.wvu.PrintArea" localSheetId="7" hidden="1">'S7'!$A$1:$I$60</definedName>
  </definedNames>
  <calcPr fullCalcOnLoad="1"/>
</workbook>
</file>

<file path=xl/sharedStrings.xml><?xml version="1.0" encoding="utf-8"?>
<sst xmlns="http://schemas.openxmlformats.org/spreadsheetml/2006/main" count="258" uniqueCount="172">
  <si>
    <t>Trade credit and advances</t>
  </si>
  <si>
    <t>Net Foreign Assets</t>
  </si>
  <si>
    <t>Money Market</t>
  </si>
  <si>
    <t>Mortgage Rate (market avg) [%]</t>
  </si>
  <si>
    <t>Deposit Rate (monthly weighted avg) [%]</t>
  </si>
  <si>
    <t>91-Day Treasury Bills</t>
  </si>
  <si>
    <t xml:space="preserve">  - discount rate [%]</t>
  </si>
  <si>
    <t xml:space="preserve">  - allotted [N$ mln]</t>
  </si>
  <si>
    <t xml:space="preserve">  - redeemed [N$ mln]</t>
  </si>
  <si>
    <t>182-Day Treasury Bills</t>
  </si>
  <si>
    <t>Capital Market</t>
  </si>
  <si>
    <t>Internal Registered Stock (IRS)</t>
  </si>
  <si>
    <t xml:space="preserve">  - yield to maturity [%]</t>
  </si>
  <si>
    <t xml:space="preserve">  - outstanding [N$ mln]</t>
  </si>
  <si>
    <t>Namibian Stock Exchange</t>
  </si>
  <si>
    <t>All Shares</t>
  </si>
  <si>
    <t xml:space="preserve">    volume [mln shares]</t>
  </si>
  <si>
    <t xml:space="preserve">    turnover [N$ mln]</t>
  </si>
  <si>
    <t xml:space="preserve">    price index (end of month)</t>
  </si>
  <si>
    <t xml:space="preserve">    market capitalization [N$ bln]</t>
  </si>
  <si>
    <t xml:space="preserve">    -  mining</t>
  </si>
  <si>
    <t xml:space="preserve">    -  financial</t>
  </si>
  <si>
    <t xml:space="preserve">    -  industrial</t>
  </si>
  <si>
    <t xml:space="preserve">    -  retail</t>
  </si>
  <si>
    <t xml:space="preserve">    -  fishing</t>
  </si>
  <si>
    <t>Local Shares</t>
  </si>
  <si>
    <t>Twelve Months</t>
  </si>
  <si>
    <t>Since last December</t>
  </si>
  <si>
    <t>Month-on-Month</t>
  </si>
  <si>
    <t xml:space="preserve">   Change in reserves</t>
  </si>
  <si>
    <t>NAD per U.S dollar</t>
  </si>
  <si>
    <t>U.S dollar per NAD</t>
  </si>
  <si>
    <t>German mark per NAD</t>
  </si>
  <si>
    <t>British pound per NAD</t>
  </si>
  <si>
    <t>Japanese yen per NAD</t>
  </si>
  <si>
    <t>NAD = Namibia Dollar</t>
  </si>
  <si>
    <t>*Source: South African Reserve Bank</t>
  </si>
  <si>
    <t xml:space="preserve">  - Effective yield(%)</t>
  </si>
  <si>
    <t xml:space="preserve">   - Effective yield (%)</t>
  </si>
  <si>
    <t>Prime Rate  (market avg) %</t>
  </si>
  <si>
    <t>Debt outstanding (91- &amp;182- &amp; 365 day TBs) [N$ mln]</t>
  </si>
  <si>
    <t>Foreign exchange rates (average)*</t>
  </si>
  <si>
    <t>Other Items Net</t>
  </si>
  <si>
    <t>FINANCIAL INDICATORS</t>
  </si>
  <si>
    <t>BANK OF NAMIBIA</t>
  </si>
  <si>
    <t>RESEARCH DEPARTMENT</t>
  </si>
  <si>
    <t>Statistical Release of Selected Data</t>
  </si>
  <si>
    <t>Other financial corporations</t>
  </si>
  <si>
    <t>Other resident sectors</t>
  </si>
  <si>
    <t>Broad Money Liabilities</t>
  </si>
  <si>
    <t>Currency outside depository corporations</t>
  </si>
  <si>
    <t>Transferable deposits</t>
  </si>
  <si>
    <t>Other deposits</t>
  </si>
  <si>
    <t>Total Assets</t>
  </si>
  <si>
    <t>Deposits</t>
  </si>
  <si>
    <t>Securities other than shares</t>
  </si>
  <si>
    <t xml:space="preserve">Other </t>
  </si>
  <si>
    <t>Claims on residents</t>
  </si>
  <si>
    <t>Other sectors</t>
  </si>
  <si>
    <t>Total Liabilities</t>
  </si>
  <si>
    <t>Monetary Base</t>
  </si>
  <si>
    <t>Currency in circulation</t>
  </si>
  <si>
    <t xml:space="preserve">Liabilities to ODC's </t>
  </si>
  <si>
    <t>Shares and other equity</t>
  </si>
  <si>
    <t>Foreign currency</t>
  </si>
  <si>
    <t>Loans</t>
  </si>
  <si>
    <t>Others</t>
  </si>
  <si>
    <t>Non resident sector</t>
  </si>
  <si>
    <t>Other</t>
  </si>
  <si>
    <t>Resident sector</t>
  </si>
  <si>
    <t>Deposits included in M2</t>
  </si>
  <si>
    <t>Transferable</t>
  </si>
  <si>
    <t>Domestic Claims</t>
  </si>
  <si>
    <t>Broad Money Supply</t>
  </si>
  <si>
    <t>Check</t>
  </si>
  <si>
    <t>Money and Banking Statistics</t>
  </si>
  <si>
    <t>Central government</t>
  </si>
  <si>
    <t>Central bank</t>
  </si>
  <si>
    <t>State and local governments</t>
  </si>
  <si>
    <t>Consumer Price Inflation [Percentage Change]*</t>
  </si>
  <si>
    <t>Primary auction</t>
  </si>
  <si>
    <t xml:space="preserve">         Foreign exchange reserves (NAD millions)</t>
  </si>
  <si>
    <t>Loans and Advances</t>
  </si>
  <si>
    <t>Mortgage Loans</t>
  </si>
  <si>
    <t xml:space="preserve">Other Loans &amp; Advances </t>
  </si>
  <si>
    <t>Overdraft</t>
  </si>
  <si>
    <t>Installment Credit</t>
  </si>
  <si>
    <t>Leasing Transactions</t>
  </si>
  <si>
    <t>Other Claims</t>
  </si>
  <si>
    <t xml:space="preserve">Loans and Advances </t>
  </si>
  <si>
    <t>Other Loans &amp; Advances</t>
  </si>
  <si>
    <t>Claims on non-resident private sector</t>
  </si>
  <si>
    <t xml:space="preserve">Other Items Net </t>
  </si>
  <si>
    <t>Liabilities to Central Government</t>
  </si>
  <si>
    <t>Liabilities to Central Bank</t>
  </si>
  <si>
    <t>Other liabilities</t>
  </si>
  <si>
    <t>Consolidation Adjustment</t>
  </si>
  <si>
    <t>Other depository corporations</t>
  </si>
  <si>
    <t>Liabilities to residents</t>
  </si>
  <si>
    <t>Liabilities to non-residents</t>
  </si>
  <si>
    <t xml:space="preserve">    </t>
  </si>
  <si>
    <t>Lending Rate (monthly weighted avg) [%]**</t>
  </si>
  <si>
    <t>**International Reserves of the Bank of Namibia</t>
  </si>
  <si>
    <t xml:space="preserve">   Source: NSX</t>
  </si>
  <si>
    <t>Source: CBS &amp; STATSSA</t>
  </si>
  <si>
    <t>Securities other than shares (included in Broad Money)</t>
  </si>
  <si>
    <t>*  The consumer price inflation is based on the NCPI (nation wide CPI)</t>
  </si>
  <si>
    <t>Change in N$ mill</t>
  </si>
  <si>
    <t xml:space="preserve">   **International reserves</t>
  </si>
  <si>
    <t>One year</t>
  </si>
  <si>
    <t>One month</t>
  </si>
  <si>
    <t>** Average lending rate includes both interbank and intragroup rates</t>
  </si>
  <si>
    <t>Central Bank (N$ million)</t>
  </si>
  <si>
    <t>Other Depository Corporations (N$ million)</t>
  </si>
  <si>
    <t>Depository Corporations Survey (N$ million)</t>
  </si>
  <si>
    <t>Components of Money Supply (N$ million)</t>
  </si>
  <si>
    <t>Determinants of Money Supply (N$ million)</t>
  </si>
  <si>
    <t>Securities other than shares included in M2</t>
  </si>
  <si>
    <t>Securities other than shares excluded from M2</t>
  </si>
  <si>
    <t xml:space="preserve"> </t>
  </si>
  <si>
    <t xml:space="preserve">       International reserves** and exchange rates</t>
  </si>
  <si>
    <t>*Other sector = Private sector</t>
  </si>
  <si>
    <t>Other resident sectors (Individuals)</t>
  </si>
  <si>
    <t>Other non-financial corporations</t>
  </si>
  <si>
    <t xml:space="preserve">% Change </t>
  </si>
  <si>
    <t>% change</t>
  </si>
  <si>
    <t xml:space="preserve">% change </t>
  </si>
  <si>
    <t>Annual Percentage Change</t>
  </si>
  <si>
    <t>Monthly</t>
  </si>
  <si>
    <t>Domestic claims vs claims on other sectors (annual percentage changes)</t>
  </si>
  <si>
    <t>DevX</t>
  </si>
  <si>
    <t xml:space="preserve">    volume [000 shares]</t>
  </si>
  <si>
    <t>Unclassified shares and other equity</t>
  </si>
  <si>
    <t>Claims on other sectors</t>
  </si>
  <si>
    <t>State and local government</t>
  </si>
  <si>
    <t>Net Claims on central Government</t>
  </si>
  <si>
    <t>Public nonfinancial corporations</t>
  </si>
  <si>
    <t>Other nonfinancial corporations</t>
  </si>
  <si>
    <t>Total Claims on the Private Sector</t>
  </si>
  <si>
    <t>Other nonfinancial corporations (Businesses)</t>
  </si>
  <si>
    <t>Claims on nonresidents</t>
  </si>
  <si>
    <t>Liabilities to central government</t>
  </si>
  <si>
    <t>Other non financial corporations</t>
  </si>
  <si>
    <t>Other Assets</t>
  </si>
  <si>
    <t>Securities other than shars</t>
  </si>
  <si>
    <t>Deposits excluded from M2</t>
  </si>
  <si>
    <t>Financial Derivatives</t>
  </si>
  <si>
    <t>Shares and Equity</t>
  </si>
  <si>
    <t>Net Claims on the Central Government</t>
  </si>
  <si>
    <t>Claims on other Sectors</t>
  </si>
  <si>
    <t>Currency Outside Depository Corporations</t>
  </si>
  <si>
    <t>Transferable Deposits</t>
  </si>
  <si>
    <t>Other Deposits</t>
  </si>
  <si>
    <t>Other Liabilities</t>
  </si>
  <si>
    <t>Annual inflation (Namibia vs South Africa)</t>
  </si>
  <si>
    <t>EU per NAD</t>
  </si>
  <si>
    <t>One Month</t>
  </si>
  <si>
    <t>One Year</t>
  </si>
  <si>
    <t xml:space="preserve">  Namibia Stock Exchange</t>
  </si>
  <si>
    <t>Repo Rate [%]</t>
  </si>
  <si>
    <t>365-Day Treasury Bills</t>
  </si>
  <si>
    <t xml:space="preserve">Annual Percentage </t>
  </si>
  <si>
    <t>Change</t>
  </si>
  <si>
    <t xml:space="preserve">   </t>
  </si>
  <si>
    <t>Money Supply (annual  percentage changes)</t>
  </si>
  <si>
    <t xml:space="preserve"> Selected interest rates</t>
  </si>
  <si>
    <t>Money Supply (month-on-month  percentage changes)</t>
  </si>
  <si>
    <t xml:space="preserve">        Foreign  Reserves</t>
  </si>
  <si>
    <t xml:space="preserve">        U.S Dollar/Namibia Dollar exchange rate</t>
  </si>
  <si>
    <t>Claims on the Other sectors*  by the Other Depository Corporations (N$ million)</t>
  </si>
  <si>
    <t xml:space="preserve"> Monthly</t>
  </si>
  <si>
    <t>Domestic and other sectors claims (month-on-month  percentage changes)</t>
  </si>
</sst>
</file>

<file path=xl/styles.xml><?xml version="1.0" encoding="utf-8"?>
<styleSheet xmlns="http://schemas.openxmlformats.org/spreadsheetml/2006/main">
  <numFmts count="2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0"/>
    <numFmt numFmtId="174" formatCode="0.000"/>
    <numFmt numFmtId="175" formatCode="#,##0.0"/>
    <numFmt numFmtId="176" formatCode="_(* #,##0.0_);_(* \(#,##0.0\);_(* &quot;-&quot;??_);_(@_)"/>
    <numFmt numFmtId="177" formatCode="[$-409]mmm\-yy;@"/>
    <numFmt numFmtId="178" formatCode="[$-409]mmmm\-yy;@"/>
    <numFmt numFmtId="179" formatCode="#,##0.0_);\(#,##0.0\)"/>
    <numFmt numFmtId="180" formatCode="_(* #,##0.0000_);_(* \(#,##0.0000\);_(* &quot;-&quot;??_);_(@_)"/>
    <numFmt numFmtId="181" formatCode="#,##0.000000"/>
    <numFmt numFmtId="182" formatCode="0.0%"/>
    <numFmt numFmtId="183" formatCode="#,##0.0000"/>
    <numFmt numFmtId="184" formatCode="_ * #,##0.0000_ ;_ * \-#,##0.0000_ ;_ * &quot;-&quot;????_ ;_ @_ "/>
  </numFmts>
  <fonts count="103">
    <font>
      <sz val="8"/>
      <name val="Univers"/>
      <family val="0"/>
    </font>
    <font>
      <sz val="12"/>
      <name val="Univers"/>
      <family val="0"/>
    </font>
    <font>
      <b/>
      <sz val="12"/>
      <color indexed="61"/>
      <name val="Arial"/>
      <family val="2"/>
    </font>
    <font>
      <sz val="12"/>
      <color indexed="61"/>
      <name val="Arial"/>
      <family val="2"/>
    </font>
    <font>
      <sz val="8"/>
      <color indexed="61"/>
      <name val="Arial"/>
      <family val="2"/>
    </font>
    <font>
      <u val="single"/>
      <sz val="6"/>
      <color indexed="12"/>
      <name val="Univers"/>
      <family val="0"/>
    </font>
    <font>
      <u val="single"/>
      <sz val="6"/>
      <color indexed="36"/>
      <name val="Univers"/>
      <family val="0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sz val="9"/>
      <color indexed="61"/>
      <name val="Arial"/>
      <family val="2"/>
    </font>
    <font>
      <b/>
      <sz val="9"/>
      <color indexed="61"/>
      <name val="Arial"/>
      <family val="2"/>
    </font>
    <font>
      <sz val="9"/>
      <name val="Arial"/>
      <family val="2"/>
    </font>
    <font>
      <i/>
      <sz val="9"/>
      <color indexed="9"/>
      <name val="Arial"/>
      <family val="2"/>
    </font>
    <font>
      <sz val="8"/>
      <color indexed="9"/>
      <name val="Arial"/>
      <family val="2"/>
    </font>
    <font>
      <b/>
      <sz val="10"/>
      <color indexed="61"/>
      <name val="Univers"/>
      <family val="0"/>
    </font>
    <font>
      <sz val="8"/>
      <name val="Arial"/>
      <family val="2"/>
    </font>
    <font>
      <sz val="12"/>
      <name val="Arial"/>
      <family val="2"/>
    </font>
    <font>
      <sz val="10"/>
      <name val="Univers"/>
      <family val="0"/>
    </font>
    <font>
      <sz val="10"/>
      <color indexed="61"/>
      <name val="Univers"/>
      <family val="0"/>
    </font>
    <font>
      <b/>
      <sz val="9"/>
      <color indexed="37"/>
      <name val="Arial"/>
      <family val="2"/>
    </font>
    <font>
      <b/>
      <sz val="8"/>
      <color indexed="9"/>
      <name val="Arial"/>
      <family val="2"/>
    </font>
    <font>
      <sz val="24"/>
      <name val="Comic Sans MS"/>
      <family val="4"/>
    </font>
    <font>
      <sz val="26"/>
      <name val="Times New Roman"/>
      <family val="1"/>
    </font>
    <font>
      <b/>
      <i/>
      <sz val="24"/>
      <name val="Comic Sans MS"/>
      <family val="4"/>
    </font>
    <font>
      <b/>
      <i/>
      <sz val="26"/>
      <name val="Comic Sans MS"/>
      <family val="4"/>
    </font>
    <font>
      <b/>
      <sz val="26"/>
      <name val="Comic Sans MS"/>
      <family val="4"/>
    </font>
    <font>
      <b/>
      <sz val="8"/>
      <color indexed="61"/>
      <name val="Arial"/>
      <family val="2"/>
    </font>
    <font>
      <i/>
      <sz val="8"/>
      <color indexed="61"/>
      <name val="Arial"/>
      <family val="2"/>
    </font>
    <font>
      <sz val="8"/>
      <color indexed="61"/>
      <name val="Times New Roman"/>
      <family val="1"/>
    </font>
    <font>
      <sz val="8"/>
      <color indexed="61"/>
      <name val="Univers"/>
      <family val="0"/>
    </font>
    <font>
      <sz val="10"/>
      <name val="Times New Roman"/>
      <family val="1"/>
    </font>
    <font>
      <sz val="18"/>
      <name val="Times New Roman"/>
      <family val="1"/>
    </font>
    <font>
      <sz val="8"/>
      <name val="Times New Roman"/>
      <family val="1"/>
    </font>
    <font>
      <i/>
      <sz val="12"/>
      <name val="Times New Roman"/>
      <family val="1"/>
    </font>
    <font>
      <sz val="18"/>
      <name val="Arial"/>
      <family val="2"/>
    </font>
    <font>
      <i/>
      <sz val="12"/>
      <name val="Arial"/>
      <family val="2"/>
    </font>
    <font>
      <sz val="11"/>
      <name val="Arial"/>
      <family val="2"/>
    </font>
    <font>
      <b/>
      <sz val="11"/>
      <color indexed="61"/>
      <name val="Arial"/>
      <family val="2"/>
    </font>
    <font>
      <sz val="11"/>
      <color indexed="37"/>
      <name val="Arial"/>
      <family val="2"/>
    </font>
    <font>
      <b/>
      <sz val="12"/>
      <name val="Arial"/>
      <family val="2"/>
    </font>
    <font>
      <b/>
      <i/>
      <sz val="22"/>
      <name val="Comic Sans MS"/>
      <family val="4"/>
    </font>
    <font>
      <sz val="8"/>
      <color indexed="37"/>
      <name val="Univers"/>
      <family val="0"/>
    </font>
    <font>
      <b/>
      <sz val="12"/>
      <color indexed="37"/>
      <name val="Arial"/>
      <family val="2"/>
    </font>
    <font>
      <b/>
      <sz val="14"/>
      <color indexed="37"/>
      <name val="Arial"/>
      <family val="2"/>
    </font>
    <font>
      <sz val="8"/>
      <color indexed="37"/>
      <name val="Arial"/>
      <family val="2"/>
    </font>
    <font>
      <sz val="8"/>
      <color indexed="16"/>
      <name val="Univers"/>
      <family val="0"/>
    </font>
    <font>
      <sz val="10"/>
      <name val="Arial"/>
      <family val="2"/>
    </font>
    <font>
      <u val="single"/>
      <sz val="8"/>
      <color indexed="61"/>
      <name val="Arial"/>
      <family val="2"/>
    </font>
    <font>
      <b/>
      <u val="single"/>
      <sz val="8"/>
      <color indexed="61"/>
      <name val="Arial"/>
      <family val="2"/>
    </font>
    <font>
      <b/>
      <sz val="16"/>
      <color indexed="61"/>
      <name val="Arial"/>
      <family val="2"/>
    </font>
    <font>
      <sz val="16"/>
      <color indexed="61"/>
      <name val="Arial"/>
      <family val="2"/>
    </font>
    <font>
      <sz val="10"/>
      <color indexed="37"/>
      <name val="Univers"/>
      <family val="0"/>
    </font>
    <font>
      <sz val="10"/>
      <color indexed="37"/>
      <name val="Arial"/>
      <family val="2"/>
    </font>
    <font>
      <b/>
      <sz val="8"/>
      <name val="Univers"/>
      <family val="0"/>
    </font>
    <font>
      <sz val="9"/>
      <color indexed="37"/>
      <name val="Arial"/>
      <family val="2"/>
    </font>
    <font>
      <i/>
      <sz val="9"/>
      <color indexed="61"/>
      <name val="Arial"/>
      <family val="2"/>
    </font>
    <font>
      <b/>
      <sz val="14"/>
      <color indexed="61"/>
      <name val="Arial"/>
      <family val="2"/>
    </font>
    <font>
      <sz val="10"/>
      <color indexed="25"/>
      <name val="Arial"/>
      <family val="0"/>
    </font>
    <font>
      <sz val="14"/>
      <color indexed="6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60"/>
      <name val="Univers"/>
      <family val="0"/>
    </font>
    <font>
      <sz val="8"/>
      <color indexed="25"/>
      <name val="Arial"/>
      <family val="2"/>
    </font>
    <font>
      <sz val="9"/>
      <color indexed="25"/>
      <name val="Arial"/>
      <family val="2"/>
    </font>
    <font>
      <sz val="9"/>
      <color indexed="25"/>
      <name val="Univers"/>
      <family val="0"/>
    </font>
    <font>
      <b/>
      <sz val="12"/>
      <color indexed="2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5" tint="-0.24997000396251678"/>
      <name val="Univers"/>
      <family val="0"/>
    </font>
    <font>
      <sz val="8"/>
      <color rgb="FF993366"/>
      <name val="Arial"/>
      <family val="2"/>
    </font>
    <font>
      <sz val="9"/>
      <color rgb="FF993366"/>
      <name val="Arial"/>
      <family val="2"/>
    </font>
    <font>
      <sz val="9"/>
      <color rgb="FF993366"/>
      <name val="Univers"/>
      <family val="0"/>
    </font>
    <font>
      <b/>
      <sz val="12"/>
      <color rgb="FF993366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lightTrellis">
        <fgColor indexed="26"/>
        <bgColor indexed="26"/>
      </patternFill>
    </fill>
    <fill>
      <patternFill patternType="solid">
        <fgColor indexed="42"/>
        <bgColor indexed="64"/>
      </patternFill>
    </fill>
    <fill>
      <patternFill patternType="lightTrellis">
        <fgColor indexed="26"/>
        <bgColor rgb="FF99FFCC"/>
      </patternFill>
    </fill>
    <fill>
      <patternFill patternType="lightTrellis">
        <fgColor indexed="26"/>
        <bgColor rgb="FFFFFFCC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1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1" fillId="2" borderId="0" applyNumberFormat="0" applyBorder="0" applyAlignment="0" applyProtection="0"/>
    <xf numFmtId="0" fontId="81" fillId="3" borderId="0" applyNumberFormat="0" applyBorder="0" applyAlignment="0" applyProtection="0"/>
    <xf numFmtId="0" fontId="81" fillId="4" borderId="0" applyNumberFormat="0" applyBorder="0" applyAlignment="0" applyProtection="0"/>
    <xf numFmtId="0" fontId="81" fillId="5" borderId="0" applyNumberFormat="0" applyBorder="0" applyAlignment="0" applyProtection="0"/>
    <xf numFmtId="0" fontId="81" fillId="6" borderId="0" applyNumberFormat="0" applyBorder="0" applyAlignment="0" applyProtection="0"/>
    <xf numFmtId="0" fontId="81" fillId="7" borderId="0" applyNumberFormat="0" applyBorder="0" applyAlignment="0" applyProtection="0"/>
    <xf numFmtId="0" fontId="81" fillId="8" borderId="0" applyNumberFormat="0" applyBorder="0" applyAlignment="0" applyProtection="0"/>
    <xf numFmtId="0" fontId="81" fillId="9" borderId="0" applyNumberFormat="0" applyBorder="0" applyAlignment="0" applyProtection="0"/>
    <xf numFmtId="0" fontId="81" fillId="10" borderId="0" applyNumberFormat="0" applyBorder="0" applyAlignment="0" applyProtection="0"/>
    <xf numFmtId="0" fontId="81" fillId="11" borderId="0" applyNumberFormat="0" applyBorder="0" applyAlignment="0" applyProtection="0"/>
    <xf numFmtId="0" fontId="81" fillId="12" borderId="0" applyNumberFormat="0" applyBorder="0" applyAlignment="0" applyProtection="0"/>
    <xf numFmtId="0" fontId="81" fillId="13" borderId="0" applyNumberFormat="0" applyBorder="0" applyAlignment="0" applyProtection="0"/>
    <xf numFmtId="0" fontId="82" fillId="14" borderId="0" applyNumberFormat="0" applyBorder="0" applyAlignment="0" applyProtection="0"/>
    <xf numFmtId="0" fontId="82" fillId="15" borderId="0" applyNumberFormat="0" applyBorder="0" applyAlignment="0" applyProtection="0"/>
    <xf numFmtId="0" fontId="82" fillId="16" borderId="0" applyNumberFormat="0" applyBorder="0" applyAlignment="0" applyProtection="0"/>
    <xf numFmtId="0" fontId="82" fillId="17" borderId="0" applyNumberFormat="0" applyBorder="0" applyAlignment="0" applyProtection="0"/>
    <xf numFmtId="0" fontId="82" fillId="18" borderId="0" applyNumberFormat="0" applyBorder="0" applyAlignment="0" applyProtection="0"/>
    <xf numFmtId="0" fontId="82" fillId="19" borderId="0" applyNumberFormat="0" applyBorder="0" applyAlignment="0" applyProtection="0"/>
    <xf numFmtId="0" fontId="82" fillId="20" borderId="0" applyNumberFormat="0" applyBorder="0" applyAlignment="0" applyProtection="0"/>
    <xf numFmtId="0" fontId="82" fillId="21" borderId="0" applyNumberFormat="0" applyBorder="0" applyAlignment="0" applyProtection="0"/>
    <xf numFmtId="0" fontId="82" fillId="22" borderId="0" applyNumberFormat="0" applyBorder="0" applyAlignment="0" applyProtection="0"/>
    <xf numFmtId="0" fontId="82" fillId="23" borderId="0" applyNumberFormat="0" applyBorder="0" applyAlignment="0" applyProtection="0"/>
    <xf numFmtId="0" fontId="82" fillId="24" borderId="0" applyNumberFormat="0" applyBorder="0" applyAlignment="0" applyProtection="0"/>
    <xf numFmtId="0" fontId="82" fillId="25" borderId="0" applyNumberFormat="0" applyBorder="0" applyAlignment="0" applyProtection="0"/>
    <xf numFmtId="0" fontId="83" fillId="26" borderId="0" applyNumberFormat="0" applyBorder="0" applyAlignment="0" applyProtection="0"/>
    <xf numFmtId="0" fontId="84" fillId="27" borderId="1" applyNumberFormat="0" applyAlignment="0" applyProtection="0"/>
    <xf numFmtId="0" fontId="8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6" fillId="0" borderId="0" applyNumberFormat="0" applyFill="0" applyBorder="0" applyAlignment="0" applyProtection="0"/>
    <xf numFmtId="3" fontId="31" fillId="0" borderId="0" applyProtection="0">
      <alignment/>
    </xf>
    <xf numFmtId="3" fontId="32" fillId="0" borderId="0" applyProtection="0">
      <alignment/>
    </xf>
    <xf numFmtId="3" fontId="33" fillId="0" borderId="0" applyProtection="0">
      <alignment/>
    </xf>
    <xf numFmtId="3" fontId="16" fillId="0" borderId="0" applyProtection="0">
      <alignment/>
    </xf>
    <xf numFmtId="3" fontId="16" fillId="0" borderId="0" applyProtection="0">
      <alignment/>
    </xf>
    <xf numFmtId="3" fontId="16" fillId="0" borderId="0" applyProtection="0">
      <alignment/>
    </xf>
    <xf numFmtId="3" fontId="16" fillId="0" borderId="0" applyProtection="0">
      <alignment/>
    </xf>
    <xf numFmtId="3" fontId="16" fillId="0" borderId="0" applyProtection="0">
      <alignment/>
    </xf>
    <xf numFmtId="3" fontId="16" fillId="0" borderId="0" applyProtection="0">
      <alignment/>
    </xf>
    <xf numFmtId="3" fontId="16" fillId="0" borderId="0" applyProtection="0">
      <alignment/>
    </xf>
    <xf numFmtId="3" fontId="16" fillId="0" borderId="0" applyProtection="0">
      <alignment/>
    </xf>
    <xf numFmtId="3" fontId="16" fillId="0" borderId="0" applyProtection="0">
      <alignment/>
    </xf>
    <xf numFmtId="3" fontId="16" fillId="0" borderId="0" applyProtection="0">
      <alignment/>
    </xf>
    <xf numFmtId="3" fontId="16" fillId="0" borderId="0" applyProtection="0">
      <alignment/>
    </xf>
    <xf numFmtId="3" fontId="16" fillId="0" borderId="0" applyProtection="0">
      <alignment/>
    </xf>
    <xf numFmtId="3" fontId="16" fillId="0" borderId="0" applyProtection="0">
      <alignment/>
    </xf>
    <xf numFmtId="3" fontId="16" fillId="0" borderId="0" applyProtection="0">
      <alignment/>
    </xf>
    <xf numFmtId="3" fontId="34" fillId="0" borderId="0" applyProtection="0">
      <alignment/>
    </xf>
    <xf numFmtId="3" fontId="15" fillId="0" borderId="0" applyProtection="0">
      <alignment/>
    </xf>
    <xf numFmtId="3" fontId="15" fillId="0" borderId="0" applyProtection="0">
      <alignment/>
    </xf>
    <xf numFmtId="3" fontId="15" fillId="0" borderId="0" applyProtection="0">
      <alignment/>
    </xf>
    <xf numFmtId="3" fontId="15" fillId="0" borderId="0" applyProtection="0">
      <alignment/>
    </xf>
    <xf numFmtId="3" fontId="15" fillId="0" borderId="0" applyProtection="0">
      <alignment/>
    </xf>
    <xf numFmtId="3" fontId="15" fillId="0" borderId="0" applyProtection="0">
      <alignment/>
    </xf>
    <xf numFmtId="3" fontId="15" fillId="0" borderId="0" applyProtection="0">
      <alignment/>
    </xf>
    <xf numFmtId="3" fontId="15" fillId="0" borderId="0" applyProtection="0">
      <alignment/>
    </xf>
    <xf numFmtId="3" fontId="15" fillId="0" borderId="0" applyProtection="0">
      <alignment/>
    </xf>
    <xf numFmtId="3" fontId="15" fillId="0" borderId="0" applyProtection="0">
      <alignment/>
    </xf>
    <xf numFmtId="3" fontId="15" fillId="0" borderId="0" applyProtection="0">
      <alignment/>
    </xf>
    <xf numFmtId="3" fontId="15" fillId="0" borderId="0" applyProtection="0">
      <alignment/>
    </xf>
    <xf numFmtId="3" fontId="15" fillId="0" borderId="0" applyProtection="0">
      <alignment/>
    </xf>
    <xf numFmtId="3" fontId="15" fillId="0" borderId="0" applyProtection="0">
      <alignment/>
    </xf>
    <xf numFmtId="3" fontId="35" fillId="0" borderId="0" applyProtection="0">
      <alignment/>
    </xf>
    <xf numFmtId="0" fontId="6" fillId="0" borderId="0" applyNumberFormat="0" applyFill="0" applyBorder="0" applyAlignment="0" applyProtection="0"/>
    <xf numFmtId="0" fontId="87" fillId="29" borderId="0" applyNumberFormat="0" applyBorder="0" applyAlignment="0" applyProtection="0"/>
    <xf numFmtId="0" fontId="88" fillId="0" borderId="3" applyNumberFormat="0" applyFill="0" applyAlignment="0" applyProtection="0"/>
    <xf numFmtId="0" fontId="89" fillId="0" borderId="4" applyNumberFormat="0" applyFill="0" applyAlignment="0" applyProtection="0"/>
    <xf numFmtId="0" fontId="90" fillId="0" borderId="5" applyNumberFormat="0" applyFill="0" applyAlignment="0" applyProtection="0"/>
    <xf numFmtId="0" fontId="9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1" fillId="30" borderId="1" applyNumberFormat="0" applyAlignment="0" applyProtection="0"/>
    <xf numFmtId="0" fontId="92" fillId="0" borderId="6" applyNumberFormat="0" applyFill="0" applyAlignment="0" applyProtection="0"/>
    <xf numFmtId="0" fontId="93" fillId="31" borderId="0" applyNumberFormat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46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32" borderId="7" applyNumberFormat="0" applyFont="0" applyAlignment="0" applyProtection="0"/>
    <xf numFmtId="0" fontId="94" fillId="27" borderId="8" applyNumberFormat="0" applyAlignment="0" applyProtection="0"/>
    <xf numFmtId="9" fontId="0" fillId="0" borderId="0" applyFont="0" applyFill="0" applyBorder="0" applyAlignment="0" applyProtection="0"/>
    <xf numFmtId="0" fontId="95" fillId="0" borderId="0" applyNumberFormat="0" applyFill="0" applyBorder="0" applyAlignment="0" applyProtection="0"/>
    <xf numFmtId="0" fontId="96" fillId="0" borderId="9" applyNumberFormat="0" applyFill="0" applyAlignment="0" applyProtection="0"/>
    <xf numFmtId="0" fontId="97" fillId="0" borderId="0" applyNumberFormat="0" applyFill="0" applyBorder="0" applyAlignment="0" applyProtection="0"/>
  </cellStyleXfs>
  <cellXfs count="324">
    <xf numFmtId="0" fontId="0" fillId="0" borderId="0" xfId="0" applyAlignment="1">
      <alignment/>
    </xf>
    <xf numFmtId="0" fontId="1" fillId="0" borderId="0" xfId="0" applyFont="1" applyAlignment="1">
      <alignment/>
    </xf>
    <xf numFmtId="0" fontId="11" fillId="0" borderId="0" xfId="0" applyFont="1" applyAlignment="1">
      <alignment/>
    </xf>
    <xf numFmtId="0" fontId="7" fillId="33" borderId="10" xfId="0" applyFont="1" applyFill="1" applyBorder="1" applyAlignment="1">
      <alignment/>
    </xf>
    <xf numFmtId="0" fontId="11" fillId="34" borderId="0" xfId="0" applyFont="1" applyFill="1" applyBorder="1" applyAlignment="1">
      <alignment/>
    </xf>
    <xf numFmtId="0" fontId="8" fillId="33" borderId="11" xfId="0" applyFont="1" applyFill="1" applyBorder="1" applyAlignment="1">
      <alignment/>
    </xf>
    <xf numFmtId="0" fontId="7" fillId="33" borderId="11" xfId="0" applyFont="1" applyFill="1" applyBorder="1" applyAlignment="1">
      <alignment/>
    </xf>
    <xf numFmtId="0" fontId="12" fillId="33" borderId="11" xfId="0" applyFont="1" applyFill="1" applyBorder="1" applyAlignment="1">
      <alignment/>
    </xf>
    <xf numFmtId="0" fontId="11" fillId="0" borderId="0" xfId="0" applyFont="1" applyAlignment="1">
      <alignment horizontal="right"/>
    </xf>
    <xf numFmtId="171" fontId="11" fillId="0" borderId="0" xfId="42" applyFont="1" applyAlignment="1">
      <alignment/>
    </xf>
    <xf numFmtId="4" fontId="11" fillId="0" borderId="0" xfId="0" applyNumberFormat="1" applyFont="1" applyAlignment="1">
      <alignment/>
    </xf>
    <xf numFmtId="0" fontId="8" fillId="33" borderId="12" xfId="0" applyFont="1" applyFill="1" applyBorder="1" applyAlignment="1">
      <alignment/>
    </xf>
    <xf numFmtId="17" fontId="13" fillId="33" borderId="13" xfId="0" applyNumberFormat="1" applyFont="1" applyFill="1" applyBorder="1" applyAlignment="1">
      <alignment/>
    </xf>
    <xf numFmtId="0" fontId="14" fillId="0" borderId="0" xfId="0" applyFont="1" applyAlignment="1">
      <alignment horizontal="center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17" fillId="0" borderId="0" xfId="0" applyFont="1" applyAlignment="1">
      <alignment/>
    </xf>
    <xf numFmtId="0" fontId="14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9" fillId="0" borderId="0" xfId="0" applyFont="1" applyAlignment="1">
      <alignment horizontal="center"/>
    </xf>
    <xf numFmtId="175" fontId="13" fillId="33" borderId="14" xfId="0" applyNumberFormat="1" applyFont="1" applyFill="1" applyBorder="1" applyAlignment="1">
      <alignment/>
    </xf>
    <xf numFmtId="175" fontId="4" fillId="0" borderId="0" xfId="0" applyNumberFormat="1" applyFont="1" applyFill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178" fontId="24" fillId="0" borderId="0" xfId="0" applyNumberFormat="1" applyFont="1" applyAlignment="1">
      <alignment horizontal="center"/>
    </xf>
    <xf numFmtId="175" fontId="9" fillId="35" borderId="15" xfId="0" applyNumberFormat="1" applyFont="1" applyFill="1" applyBorder="1" applyAlignment="1">
      <alignment/>
    </xf>
    <xf numFmtId="0" fontId="15" fillId="0" borderId="0" xfId="0" applyFont="1" applyAlignment="1">
      <alignment/>
    </xf>
    <xf numFmtId="2" fontId="9" fillId="35" borderId="16" xfId="0" applyNumberFormat="1" applyFont="1" applyFill="1" applyBorder="1" applyAlignment="1">
      <alignment/>
    </xf>
    <xf numFmtId="2" fontId="9" fillId="35" borderId="15" xfId="0" applyNumberFormat="1" applyFont="1" applyFill="1" applyBorder="1" applyAlignment="1">
      <alignment/>
    </xf>
    <xf numFmtId="175" fontId="15" fillId="0" borderId="0" xfId="0" applyNumberFormat="1" applyFont="1" applyBorder="1" applyAlignment="1">
      <alignment/>
    </xf>
    <xf numFmtId="175" fontId="15" fillId="35" borderId="17" xfId="0" applyNumberFormat="1" applyFont="1" applyFill="1" applyBorder="1" applyAlignment="1">
      <alignment/>
    </xf>
    <xf numFmtId="17" fontId="4" fillId="36" borderId="17" xfId="0" applyNumberFormat="1" applyFont="1" applyFill="1" applyBorder="1" applyAlignment="1">
      <alignment/>
    </xf>
    <xf numFmtId="0" fontId="4" fillId="36" borderId="17" xfId="0" applyFont="1" applyFill="1" applyBorder="1" applyAlignment="1">
      <alignment/>
    </xf>
    <xf numFmtId="175" fontId="26" fillId="35" borderId="0" xfId="0" applyNumberFormat="1" applyFont="1" applyFill="1" applyBorder="1" applyAlignment="1">
      <alignment/>
    </xf>
    <xf numFmtId="0" fontId="26" fillId="35" borderId="18" xfId="0" applyFont="1" applyFill="1" applyBorder="1" applyAlignment="1">
      <alignment/>
    </xf>
    <xf numFmtId="175" fontId="26" fillId="35" borderId="18" xfId="0" applyNumberFormat="1" applyFont="1" applyFill="1" applyBorder="1" applyAlignment="1">
      <alignment/>
    </xf>
    <xf numFmtId="0" fontId="15" fillId="0" borderId="18" xfId="0" applyFont="1" applyBorder="1" applyAlignment="1">
      <alignment/>
    </xf>
    <xf numFmtId="0" fontId="4" fillId="0" borderId="0" xfId="0" applyFont="1" applyBorder="1" applyAlignment="1">
      <alignment/>
    </xf>
    <xf numFmtId="0" fontId="13" fillId="33" borderId="0" xfId="0" applyFont="1" applyFill="1" applyBorder="1" applyAlignment="1">
      <alignment/>
    </xf>
    <xf numFmtId="0" fontId="28" fillId="0" borderId="0" xfId="0" applyFont="1" applyFill="1" applyBorder="1" applyAlignment="1">
      <alignment/>
    </xf>
    <xf numFmtId="175" fontId="28" fillId="0" borderId="0" xfId="0" applyNumberFormat="1" applyFont="1" applyFill="1" applyBorder="1" applyAlignment="1">
      <alignment/>
    </xf>
    <xf numFmtId="172" fontId="28" fillId="0" borderId="0" xfId="0" applyNumberFormat="1" applyFont="1" applyFill="1" applyBorder="1" applyAlignment="1">
      <alignment/>
    </xf>
    <xf numFmtId="177" fontId="10" fillId="35" borderId="19" xfId="0" applyNumberFormat="1" applyFont="1" applyFill="1" applyBorder="1" applyAlignment="1">
      <alignment horizontal="center"/>
    </xf>
    <xf numFmtId="172" fontId="9" fillId="35" borderId="15" xfId="0" applyNumberFormat="1" applyFont="1" applyFill="1" applyBorder="1" applyAlignment="1">
      <alignment/>
    </xf>
    <xf numFmtId="179" fontId="0" fillId="0" borderId="0" xfId="0" applyNumberFormat="1" applyAlignment="1">
      <alignment/>
    </xf>
    <xf numFmtId="2" fontId="9" fillId="35" borderId="15" xfId="0" applyNumberFormat="1" applyFont="1" applyFill="1" applyBorder="1" applyAlignment="1">
      <alignment horizontal="right"/>
    </xf>
    <xf numFmtId="175" fontId="0" fillId="0" borderId="0" xfId="0" applyNumberFormat="1" applyAlignment="1">
      <alignment/>
    </xf>
    <xf numFmtId="172" fontId="9" fillId="35" borderId="20" xfId="0" applyNumberFormat="1" applyFont="1" applyFill="1" applyBorder="1" applyAlignment="1">
      <alignment horizontal="right"/>
    </xf>
    <xf numFmtId="0" fontId="29" fillId="0" borderId="0" xfId="0" applyFont="1" applyAlignment="1">
      <alignment/>
    </xf>
    <xf numFmtId="172" fontId="0" fillId="0" borderId="0" xfId="0" applyNumberFormat="1" applyAlignment="1">
      <alignment/>
    </xf>
    <xf numFmtId="0" fontId="29" fillId="0" borderId="0" xfId="0" applyFont="1" applyAlignment="1">
      <alignment horizontal="left"/>
    </xf>
    <xf numFmtId="175" fontId="26" fillId="35" borderId="0" xfId="121" applyNumberFormat="1" applyFont="1" applyFill="1" applyBorder="1">
      <alignment/>
      <protection/>
    </xf>
    <xf numFmtId="0" fontId="39" fillId="0" borderId="0" xfId="0" applyFont="1" applyAlignment="1">
      <alignment/>
    </xf>
    <xf numFmtId="0" fontId="26" fillId="35" borderId="21" xfId="121" applyFont="1" applyFill="1" applyBorder="1">
      <alignment/>
      <protection/>
    </xf>
    <xf numFmtId="0" fontId="13" fillId="33" borderId="13" xfId="0" applyFont="1" applyFill="1" applyBorder="1" applyAlignment="1">
      <alignment horizontal="right"/>
    </xf>
    <xf numFmtId="175" fontId="4" fillId="0" borderId="22" xfId="0" applyNumberFormat="1" applyFont="1" applyFill="1" applyBorder="1" applyAlignment="1">
      <alignment/>
    </xf>
    <xf numFmtId="0" fontId="40" fillId="0" borderId="0" xfId="0" applyFont="1" applyAlignment="1">
      <alignment horizontal="center"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1" fillId="0" borderId="0" xfId="0" applyFont="1" applyBorder="1" applyAlignment="1">
      <alignment/>
    </xf>
    <xf numFmtId="172" fontId="9" fillId="35" borderId="15" xfId="0" applyNumberFormat="1" applyFont="1" applyFill="1" applyBorder="1" applyAlignment="1">
      <alignment horizontal="right"/>
    </xf>
    <xf numFmtId="175" fontId="9" fillId="35" borderId="20" xfId="0" applyNumberFormat="1" applyFont="1" applyFill="1" applyBorder="1" applyAlignment="1">
      <alignment/>
    </xf>
    <xf numFmtId="175" fontId="9" fillId="35" borderId="16" xfId="0" applyNumberFormat="1" applyFont="1" applyFill="1" applyBorder="1" applyAlignment="1">
      <alignment/>
    </xf>
    <xf numFmtId="17" fontId="13" fillId="33" borderId="21" xfId="0" applyNumberFormat="1" applyFont="1" applyFill="1" applyBorder="1" applyAlignment="1">
      <alignment/>
    </xf>
    <xf numFmtId="0" fontId="13" fillId="33" borderId="23" xfId="0" applyFont="1" applyFill="1" applyBorder="1" applyAlignment="1">
      <alignment/>
    </xf>
    <xf numFmtId="0" fontId="13" fillId="33" borderId="24" xfId="0" applyFont="1" applyFill="1" applyBorder="1" applyAlignment="1">
      <alignment/>
    </xf>
    <xf numFmtId="0" fontId="13" fillId="33" borderId="25" xfId="0" applyFont="1" applyFill="1" applyBorder="1" applyAlignment="1">
      <alignment/>
    </xf>
    <xf numFmtId="0" fontId="4" fillId="35" borderId="11" xfId="0" applyFont="1" applyFill="1" applyBorder="1" applyAlignment="1">
      <alignment/>
    </xf>
    <xf numFmtId="0" fontId="26" fillId="35" borderId="11" xfId="0" applyFont="1" applyFill="1" applyBorder="1" applyAlignment="1">
      <alignment/>
    </xf>
    <xf numFmtId="175" fontId="26" fillId="35" borderId="26" xfId="0" applyNumberFormat="1" applyFont="1" applyFill="1" applyBorder="1" applyAlignment="1">
      <alignment/>
    </xf>
    <xf numFmtId="0" fontId="27" fillId="35" borderId="11" xfId="0" applyFont="1" applyFill="1" applyBorder="1" applyAlignment="1">
      <alignment horizontal="left" indent="1"/>
    </xf>
    <xf numFmtId="0" fontId="4" fillId="35" borderId="11" xfId="0" applyFont="1" applyFill="1" applyBorder="1" applyAlignment="1">
      <alignment horizontal="left" indent="1"/>
    </xf>
    <xf numFmtId="0" fontId="26" fillId="35" borderId="12" xfId="0" applyFont="1" applyFill="1" applyBorder="1" applyAlignment="1">
      <alignment/>
    </xf>
    <xf numFmtId="175" fontId="26" fillId="35" borderId="27" xfId="0" applyNumberFormat="1" applyFont="1" applyFill="1" applyBorder="1" applyAlignment="1">
      <alignment/>
    </xf>
    <xf numFmtId="0" fontId="15" fillId="35" borderId="28" xfId="0" applyFont="1" applyFill="1" applyBorder="1" applyAlignment="1">
      <alignment/>
    </xf>
    <xf numFmtId="0" fontId="27" fillId="35" borderId="12" xfId="0" applyFont="1" applyFill="1" applyBorder="1" applyAlignment="1">
      <alignment horizontal="left" indent="1"/>
    </xf>
    <xf numFmtId="0" fontId="4" fillId="36" borderId="28" xfId="0" applyFont="1" applyFill="1" applyBorder="1" applyAlignment="1">
      <alignment/>
    </xf>
    <xf numFmtId="0" fontId="26" fillId="35" borderId="11" xfId="0" applyFont="1" applyFill="1" applyBorder="1" applyAlignment="1">
      <alignment horizontal="left" indent="2"/>
    </xf>
    <xf numFmtId="0" fontId="27" fillId="37" borderId="11" xfId="0" applyFont="1" applyFill="1" applyBorder="1" applyAlignment="1">
      <alignment horizontal="left" indent="2"/>
    </xf>
    <xf numFmtId="0" fontId="4" fillId="35" borderId="11" xfId="0" applyFont="1" applyFill="1" applyBorder="1" applyAlignment="1">
      <alignment horizontal="left" indent="3"/>
    </xf>
    <xf numFmtId="0" fontId="4" fillId="35" borderId="11" xfId="0" applyFont="1" applyFill="1" applyBorder="1" applyAlignment="1">
      <alignment horizontal="left" indent="4"/>
    </xf>
    <xf numFmtId="17" fontId="4" fillId="36" borderId="17" xfId="0" applyNumberFormat="1" applyFont="1" applyFill="1" applyBorder="1" applyAlignment="1">
      <alignment horizontal="right"/>
    </xf>
    <xf numFmtId="0" fontId="38" fillId="0" borderId="0" xfId="0" applyFont="1" applyAlignment="1">
      <alignment/>
    </xf>
    <xf numFmtId="0" fontId="36" fillId="0" borderId="18" xfId="0" applyFont="1" applyBorder="1" applyAlignment="1">
      <alignment horizontal="center"/>
    </xf>
    <xf numFmtId="0" fontId="38" fillId="34" borderId="18" xfId="0" applyFont="1" applyFill="1" applyBorder="1" applyAlignment="1">
      <alignment/>
    </xf>
    <xf numFmtId="0" fontId="36" fillId="0" borderId="18" xfId="0" applyFont="1" applyBorder="1" applyAlignment="1">
      <alignment/>
    </xf>
    <xf numFmtId="0" fontId="36" fillId="34" borderId="18" xfId="0" applyFont="1" applyFill="1" applyBorder="1" applyAlignment="1">
      <alignment/>
    </xf>
    <xf numFmtId="2" fontId="36" fillId="0" borderId="18" xfId="0" applyNumberFormat="1" applyFont="1" applyBorder="1" applyAlignment="1">
      <alignment/>
    </xf>
    <xf numFmtId="0" fontId="43" fillId="0" borderId="0" xfId="0" applyFont="1" applyAlignment="1">
      <alignment horizontal="left"/>
    </xf>
    <xf numFmtId="0" fontId="2" fillId="34" borderId="0" xfId="0" applyNumberFormat="1" applyFont="1" applyFill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5" fillId="0" borderId="0" xfId="0" applyFont="1" applyBorder="1" applyAlignment="1">
      <alignment/>
    </xf>
    <xf numFmtId="0" fontId="37" fillId="0" borderId="0" xfId="0" applyFont="1" applyBorder="1" applyAlignment="1">
      <alignment/>
    </xf>
    <xf numFmtId="0" fontId="36" fillId="0" borderId="0" xfId="0" applyFont="1" applyBorder="1" applyAlignment="1">
      <alignment horizontal="center"/>
    </xf>
    <xf numFmtId="0" fontId="38" fillId="34" borderId="0" xfId="0" applyFont="1" applyFill="1" applyBorder="1" applyAlignment="1">
      <alignment/>
    </xf>
    <xf numFmtId="0" fontId="36" fillId="0" borderId="0" xfId="0" applyFont="1" applyBorder="1" applyAlignment="1">
      <alignment/>
    </xf>
    <xf numFmtId="0" fontId="36" fillId="34" borderId="0" xfId="0" applyFont="1" applyFill="1" applyBorder="1" applyAlignment="1">
      <alignment/>
    </xf>
    <xf numFmtId="2" fontId="36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13" fillId="33" borderId="14" xfId="0" applyFont="1" applyFill="1" applyBorder="1" applyAlignment="1">
      <alignment/>
    </xf>
    <xf numFmtId="0" fontId="13" fillId="33" borderId="11" xfId="0" applyFont="1" applyFill="1" applyBorder="1" applyAlignment="1">
      <alignment/>
    </xf>
    <xf numFmtId="0" fontId="13" fillId="33" borderId="29" xfId="0" applyFont="1" applyFill="1" applyBorder="1" applyAlignment="1">
      <alignment/>
    </xf>
    <xf numFmtId="0" fontId="26" fillId="35" borderId="11" xfId="121" applyFont="1" applyFill="1" applyBorder="1">
      <alignment/>
      <protection/>
    </xf>
    <xf numFmtId="0" fontId="27" fillId="35" borderId="11" xfId="121" applyFont="1" applyFill="1" applyBorder="1" applyAlignment="1">
      <alignment horizontal="left" indent="1"/>
      <protection/>
    </xf>
    <xf numFmtId="0" fontId="26" fillId="35" borderId="11" xfId="121" applyFont="1" applyFill="1" applyBorder="1" applyAlignment="1">
      <alignment horizontal="left"/>
      <protection/>
    </xf>
    <xf numFmtId="175" fontId="27" fillId="35" borderId="11" xfId="121" applyNumberFormat="1" applyFont="1" applyFill="1" applyBorder="1" applyAlignment="1">
      <alignment horizontal="left" indent="1"/>
      <protection/>
    </xf>
    <xf numFmtId="175" fontId="4" fillId="35" borderId="11" xfId="121" applyNumberFormat="1" applyFont="1" applyFill="1" applyBorder="1">
      <alignment/>
      <protection/>
    </xf>
    <xf numFmtId="175" fontId="26" fillId="35" borderId="12" xfId="121" applyNumberFormat="1" applyFont="1" applyFill="1" applyBorder="1">
      <alignment/>
      <protection/>
    </xf>
    <xf numFmtId="175" fontId="26" fillId="35" borderId="11" xfId="0" applyNumberFormat="1" applyFont="1" applyFill="1" applyBorder="1" applyAlignment="1">
      <alignment/>
    </xf>
    <xf numFmtId="175" fontId="27" fillId="35" borderId="11" xfId="0" applyNumberFormat="1" applyFont="1" applyFill="1" applyBorder="1" applyAlignment="1">
      <alignment horizontal="left" indent="1"/>
    </xf>
    <xf numFmtId="175" fontId="27" fillId="35" borderId="11" xfId="0" applyNumberFormat="1" applyFont="1" applyFill="1" applyBorder="1" applyAlignment="1">
      <alignment horizontal="left"/>
    </xf>
    <xf numFmtId="175" fontId="26" fillId="35" borderId="11" xfId="0" applyNumberFormat="1" applyFont="1" applyFill="1" applyBorder="1" applyAlignment="1">
      <alignment horizontal="left" indent="2"/>
    </xf>
    <xf numFmtId="175" fontId="26" fillId="35" borderId="11" xfId="0" applyNumberFormat="1" applyFont="1" applyFill="1" applyBorder="1" applyAlignment="1">
      <alignment horizontal="left"/>
    </xf>
    <xf numFmtId="175" fontId="4" fillId="35" borderId="11" xfId="0" applyNumberFormat="1" applyFont="1" applyFill="1" applyBorder="1" applyAlignment="1">
      <alignment horizontal="left" indent="2"/>
    </xf>
    <xf numFmtId="175" fontId="4" fillId="35" borderId="11" xfId="0" applyNumberFormat="1" applyFont="1" applyFill="1" applyBorder="1" applyAlignment="1">
      <alignment/>
    </xf>
    <xf numFmtId="175" fontId="27" fillId="35" borderId="12" xfId="0" applyNumberFormat="1" applyFont="1" applyFill="1" applyBorder="1" applyAlignment="1">
      <alignment horizontal="left" indent="1"/>
    </xf>
    <xf numFmtId="175" fontId="26" fillId="35" borderId="18" xfId="121" applyNumberFormat="1" applyFont="1" applyFill="1" applyBorder="1">
      <alignment/>
      <protection/>
    </xf>
    <xf numFmtId="0" fontId="4" fillId="35" borderId="12" xfId="0" applyFont="1" applyFill="1" applyBorder="1" applyAlignment="1">
      <alignment/>
    </xf>
    <xf numFmtId="0" fontId="15" fillId="0" borderId="30" xfId="0" applyFont="1" applyBorder="1" applyAlignment="1">
      <alignment/>
    </xf>
    <xf numFmtId="0" fontId="13" fillId="33" borderId="31" xfId="0" applyFont="1" applyFill="1" applyBorder="1" applyAlignment="1">
      <alignment horizontal="center"/>
    </xf>
    <xf numFmtId="0" fontId="13" fillId="33" borderId="32" xfId="0" applyFont="1" applyFill="1" applyBorder="1" applyAlignment="1">
      <alignment horizontal="center"/>
    </xf>
    <xf numFmtId="0" fontId="44" fillId="0" borderId="0" xfId="0" applyFont="1" applyAlignment="1">
      <alignment/>
    </xf>
    <xf numFmtId="46" fontId="13" fillId="33" borderId="31" xfId="0" applyNumberFormat="1" applyFont="1" applyFill="1" applyBorder="1" applyAlignment="1">
      <alignment horizontal="center"/>
    </xf>
    <xf numFmtId="0" fontId="15" fillId="0" borderId="22" xfId="0" applyFont="1" applyBorder="1" applyAlignment="1">
      <alignment/>
    </xf>
    <xf numFmtId="0" fontId="45" fillId="0" borderId="0" xfId="0" applyFont="1" applyAlignment="1">
      <alignment/>
    </xf>
    <xf numFmtId="171" fontId="9" fillId="35" borderId="15" xfId="42" applyFont="1" applyFill="1" applyBorder="1" applyAlignment="1">
      <alignment horizontal="right"/>
    </xf>
    <xf numFmtId="171" fontId="9" fillId="35" borderId="15" xfId="42" applyFont="1" applyFill="1" applyBorder="1" applyAlignment="1">
      <alignment/>
    </xf>
    <xf numFmtId="175" fontId="26" fillId="35" borderId="0" xfId="114" applyNumberFormat="1" applyFont="1" applyFill="1" applyBorder="1">
      <alignment/>
      <protection/>
    </xf>
    <xf numFmtId="175" fontId="4" fillId="35" borderId="0" xfId="114" applyNumberFormat="1" applyFont="1" applyFill="1" applyBorder="1">
      <alignment/>
      <protection/>
    </xf>
    <xf numFmtId="0" fontId="4" fillId="35" borderId="0" xfId="114" applyFont="1" applyFill="1" applyBorder="1">
      <alignment/>
      <protection/>
    </xf>
    <xf numFmtId="175" fontId="26" fillId="35" borderId="18" xfId="114" applyNumberFormat="1" applyFont="1" applyFill="1" applyBorder="1">
      <alignment/>
      <protection/>
    </xf>
    <xf numFmtId="175" fontId="4" fillId="35" borderId="0" xfId="114" applyNumberFormat="1" applyFont="1" applyFill="1" applyBorder="1" applyAlignment="1">
      <alignment horizontal="right"/>
      <protection/>
    </xf>
    <xf numFmtId="175" fontId="4" fillId="35" borderId="17" xfId="114" applyNumberFormat="1" applyFont="1" applyFill="1" applyBorder="1">
      <alignment/>
      <protection/>
    </xf>
    <xf numFmtId="0" fontId="4" fillId="35" borderId="17" xfId="114" applyFont="1" applyFill="1" applyBorder="1">
      <alignment/>
      <protection/>
    </xf>
    <xf numFmtId="175" fontId="26" fillId="35" borderId="18" xfId="114" applyNumberFormat="1" applyFont="1" applyFill="1" applyBorder="1" applyAlignment="1">
      <alignment horizontal="right"/>
      <protection/>
    </xf>
    <xf numFmtId="175" fontId="26" fillId="35" borderId="0" xfId="114" applyNumberFormat="1" applyFont="1" applyFill="1" applyBorder="1" applyAlignment="1">
      <alignment horizontal="right"/>
      <protection/>
    </xf>
    <xf numFmtId="175" fontId="26" fillId="35" borderId="0" xfId="119" applyNumberFormat="1" applyFont="1" applyFill="1" applyBorder="1">
      <alignment/>
      <protection/>
    </xf>
    <xf numFmtId="172" fontId="26" fillId="35" borderId="0" xfId="119" applyNumberFormat="1" applyFont="1" applyFill="1" applyBorder="1">
      <alignment/>
      <protection/>
    </xf>
    <xf numFmtId="175" fontId="4" fillId="35" borderId="0" xfId="119" applyNumberFormat="1" applyFont="1" applyFill="1" applyBorder="1">
      <alignment/>
      <protection/>
    </xf>
    <xf numFmtId="172" fontId="4" fillId="35" borderId="0" xfId="119" applyNumberFormat="1" applyFont="1" applyFill="1" applyBorder="1">
      <alignment/>
      <protection/>
    </xf>
    <xf numFmtId="175" fontId="26" fillId="35" borderId="21" xfId="119" applyNumberFormat="1" applyFont="1" applyFill="1" applyBorder="1">
      <alignment/>
      <protection/>
    </xf>
    <xf numFmtId="175" fontId="26" fillId="35" borderId="33" xfId="119" applyNumberFormat="1" applyFont="1" applyFill="1" applyBorder="1">
      <alignment/>
      <protection/>
    </xf>
    <xf numFmtId="175" fontId="4" fillId="35" borderId="0" xfId="120" applyNumberFormat="1" applyFont="1" applyFill="1" applyBorder="1">
      <alignment/>
      <protection/>
    </xf>
    <xf numFmtId="175" fontId="26" fillId="35" borderId="18" xfId="120" applyNumberFormat="1" applyFont="1" applyFill="1" applyBorder="1">
      <alignment/>
      <protection/>
    </xf>
    <xf numFmtId="175" fontId="26" fillId="36" borderId="0" xfId="109" applyNumberFormat="1" applyFont="1" applyFill="1" applyBorder="1">
      <alignment/>
      <protection/>
    </xf>
    <xf numFmtId="175" fontId="4" fillId="36" borderId="0" xfId="109" applyNumberFormat="1" applyFont="1" applyFill="1" applyBorder="1">
      <alignment/>
      <protection/>
    </xf>
    <xf numFmtId="175" fontId="4" fillId="36" borderId="0" xfId="109" applyNumberFormat="1" applyFont="1" applyFill="1" applyBorder="1" applyAlignment="1">
      <alignment horizontal="right"/>
      <protection/>
    </xf>
    <xf numFmtId="179" fontId="4" fillId="35" borderId="0" xfId="50" applyNumberFormat="1" applyFont="1" applyFill="1" applyBorder="1" applyAlignment="1">
      <alignment horizontal="right"/>
    </xf>
    <xf numFmtId="179" fontId="4" fillId="36" borderId="0" xfId="50" applyNumberFormat="1" applyFont="1" applyFill="1" applyBorder="1" applyAlignment="1">
      <alignment horizontal="right"/>
    </xf>
    <xf numFmtId="175" fontId="26" fillId="35" borderId="0" xfId="110" applyNumberFormat="1" applyFont="1" applyFill="1" applyBorder="1">
      <alignment/>
      <protection/>
    </xf>
    <xf numFmtId="172" fontId="26" fillId="35" borderId="0" xfId="110" applyNumberFormat="1" applyFont="1" applyFill="1" applyBorder="1">
      <alignment/>
      <protection/>
    </xf>
    <xf numFmtId="175" fontId="4" fillId="35" borderId="0" xfId="110" applyNumberFormat="1" applyFont="1" applyFill="1" applyBorder="1">
      <alignment/>
      <protection/>
    </xf>
    <xf numFmtId="172" fontId="4" fillId="35" borderId="0" xfId="110" applyNumberFormat="1" applyFont="1" applyFill="1" applyBorder="1">
      <alignment/>
      <protection/>
    </xf>
    <xf numFmtId="175" fontId="26" fillId="35" borderId="0" xfId="111" applyNumberFormat="1" applyFont="1" applyFill="1" applyBorder="1">
      <alignment/>
      <protection/>
    </xf>
    <xf numFmtId="172" fontId="26" fillId="35" borderId="0" xfId="111" applyNumberFormat="1" applyFont="1" applyFill="1" applyBorder="1">
      <alignment/>
      <protection/>
    </xf>
    <xf numFmtId="175" fontId="4" fillId="35" borderId="0" xfId="111" applyNumberFormat="1" applyFont="1" applyFill="1" applyBorder="1">
      <alignment/>
      <protection/>
    </xf>
    <xf numFmtId="172" fontId="4" fillId="35" borderId="0" xfId="111" applyNumberFormat="1" applyFont="1" applyFill="1" applyBorder="1">
      <alignment/>
      <protection/>
    </xf>
    <xf numFmtId="175" fontId="26" fillId="35" borderId="18" xfId="111" applyNumberFormat="1" applyFont="1" applyFill="1" applyBorder="1">
      <alignment/>
      <protection/>
    </xf>
    <xf numFmtId="0" fontId="98" fillId="0" borderId="0" xfId="0" applyFont="1" applyAlignment="1">
      <alignment/>
    </xf>
    <xf numFmtId="179" fontId="4" fillId="38" borderId="0" xfId="50" applyNumberFormat="1" applyFont="1" applyFill="1" applyBorder="1" applyAlignment="1">
      <alignment horizontal="right"/>
    </xf>
    <xf numFmtId="175" fontId="4" fillId="38" borderId="0" xfId="109" applyNumberFormat="1" applyFont="1" applyFill="1" applyBorder="1">
      <alignment/>
      <protection/>
    </xf>
    <xf numFmtId="175" fontId="4" fillId="38" borderId="18" xfId="109" applyNumberFormat="1" applyFont="1" applyFill="1" applyBorder="1">
      <alignment/>
      <protection/>
    </xf>
    <xf numFmtId="175" fontId="47" fillId="35" borderId="18" xfId="111" applyNumberFormat="1" applyFont="1" applyFill="1" applyBorder="1">
      <alignment/>
      <protection/>
    </xf>
    <xf numFmtId="175" fontId="48" fillId="35" borderId="18" xfId="111" applyNumberFormat="1" applyFont="1" applyFill="1" applyBorder="1">
      <alignment/>
      <protection/>
    </xf>
    <xf numFmtId="172" fontId="48" fillId="35" borderId="18" xfId="111" applyNumberFormat="1" applyFont="1" applyFill="1" applyBorder="1">
      <alignment/>
      <protection/>
    </xf>
    <xf numFmtId="17" fontId="13" fillId="33" borderId="34" xfId="0" applyNumberFormat="1" applyFont="1" applyFill="1" applyBorder="1" applyAlignment="1">
      <alignment/>
    </xf>
    <xf numFmtId="172" fontId="26" fillId="35" borderId="26" xfId="119" applyNumberFormat="1" applyFont="1" applyFill="1" applyBorder="1">
      <alignment/>
      <protection/>
    </xf>
    <xf numFmtId="172" fontId="4" fillId="35" borderId="26" xfId="119" applyNumberFormat="1" applyFont="1" applyFill="1" applyBorder="1">
      <alignment/>
      <protection/>
    </xf>
    <xf numFmtId="175" fontId="26" fillId="35" borderId="18" xfId="119" applyNumberFormat="1" applyFont="1" applyFill="1" applyBorder="1">
      <alignment/>
      <protection/>
    </xf>
    <xf numFmtId="172" fontId="26" fillId="35" borderId="18" xfId="119" applyNumberFormat="1" applyFont="1" applyFill="1" applyBorder="1">
      <alignment/>
      <protection/>
    </xf>
    <xf numFmtId="172" fontId="26" fillId="35" borderId="27" xfId="119" applyNumberFormat="1" applyFont="1" applyFill="1" applyBorder="1">
      <alignment/>
      <protection/>
    </xf>
    <xf numFmtId="172" fontId="26" fillId="35" borderId="26" xfId="110" applyNumberFormat="1" applyFont="1" applyFill="1" applyBorder="1">
      <alignment/>
      <protection/>
    </xf>
    <xf numFmtId="172" fontId="4" fillId="35" borderId="26" xfId="110" applyNumberFormat="1" applyFont="1" applyFill="1" applyBorder="1">
      <alignment/>
      <protection/>
    </xf>
    <xf numFmtId="175" fontId="4" fillId="35" borderId="26" xfId="120" applyNumberFormat="1" applyFont="1" applyFill="1" applyBorder="1">
      <alignment/>
      <protection/>
    </xf>
    <xf numFmtId="175" fontId="26" fillId="35" borderId="27" xfId="120" applyNumberFormat="1" applyFont="1" applyFill="1" applyBorder="1">
      <alignment/>
      <protection/>
    </xf>
    <xf numFmtId="172" fontId="26" fillId="35" borderId="26" xfId="111" applyNumberFormat="1" applyFont="1" applyFill="1" applyBorder="1">
      <alignment/>
      <protection/>
    </xf>
    <xf numFmtId="172" fontId="4" fillId="35" borderId="26" xfId="111" applyNumberFormat="1" applyFont="1" applyFill="1" applyBorder="1">
      <alignment/>
      <protection/>
    </xf>
    <xf numFmtId="172" fontId="48" fillId="35" borderId="27" xfId="111" applyNumberFormat="1" applyFont="1" applyFill="1" applyBorder="1">
      <alignment/>
      <protection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27" fillId="32" borderId="11" xfId="0" applyFont="1" applyFill="1" applyBorder="1" applyAlignment="1">
      <alignment horizontal="left" indent="2"/>
    </xf>
    <xf numFmtId="175" fontId="4" fillId="39" borderId="0" xfId="109" applyNumberFormat="1" applyFont="1" applyFill="1" applyBorder="1">
      <alignment/>
      <protection/>
    </xf>
    <xf numFmtId="0" fontId="99" fillId="0" borderId="0" xfId="0" applyFont="1" applyAlignment="1">
      <alignment/>
    </xf>
    <xf numFmtId="0" fontId="51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181" fontId="0" fillId="0" borderId="0" xfId="0" applyNumberFormat="1" applyAlignment="1">
      <alignment/>
    </xf>
    <xf numFmtId="175" fontId="4" fillId="38" borderId="18" xfId="109" applyNumberFormat="1" applyFont="1" applyFill="1" applyBorder="1" applyAlignment="1">
      <alignment horizontal="right"/>
      <protection/>
    </xf>
    <xf numFmtId="171" fontId="15" fillId="0" borderId="0" xfId="0" applyNumberFormat="1" applyFont="1" applyAlignment="1">
      <alignment/>
    </xf>
    <xf numFmtId="2" fontId="10" fillId="35" borderId="15" xfId="42" applyNumberFormat="1" applyFont="1" applyFill="1" applyBorder="1" applyAlignment="1">
      <alignment horizontal="right"/>
    </xf>
    <xf numFmtId="2" fontId="10" fillId="35" borderId="15" xfId="0" applyNumberFormat="1" applyFont="1" applyFill="1" applyBorder="1" applyAlignment="1">
      <alignment/>
    </xf>
    <xf numFmtId="171" fontId="9" fillId="35" borderId="15" xfId="42" applyFont="1" applyFill="1" applyBorder="1" applyAlignment="1">
      <alignment/>
    </xf>
    <xf numFmtId="2" fontId="11" fillId="0" borderId="0" xfId="0" applyNumberFormat="1" applyFont="1" applyAlignment="1">
      <alignment/>
    </xf>
    <xf numFmtId="182" fontId="0" fillId="0" borderId="0" xfId="124" applyNumberFormat="1" applyFont="1" applyAlignment="1">
      <alignment/>
    </xf>
    <xf numFmtId="0" fontId="53" fillId="0" borderId="0" xfId="0" applyFont="1" applyAlignment="1">
      <alignment/>
    </xf>
    <xf numFmtId="172" fontId="26" fillId="0" borderId="0" xfId="110" applyNumberFormat="1" applyFont="1" applyFill="1" applyBorder="1">
      <alignment/>
      <protection/>
    </xf>
    <xf numFmtId="175" fontId="13" fillId="33" borderId="35" xfId="0" applyNumberFormat="1" applyFont="1" applyFill="1" applyBorder="1" applyAlignment="1">
      <alignment/>
    </xf>
    <xf numFmtId="175" fontId="13" fillId="33" borderId="36" xfId="0" applyNumberFormat="1" applyFont="1" applyFill="1" applyBorder="1" applyAlignment="1">
      <alignment/>
    </xf>
    <xf numFmtId="175" fontId="13" fillId="33" borderId="25" xfId="0" applyNumberFormat="1" applyFont="1" applyFill="1" applyBorder="1" applyAlignment="1">
      <alignment/>
    </xf>
    <xf numFmtId="175" fontId="13" fillId="33" borderId="33" xfId="0" applyNumberFormat="1" applyFont="1" applyFill="1" applyBorder="1" applyAlignment="1">
      <alignment/>
    </xf>
    <xf numFmtId="0" fontId="49" fillId="0" borderId="0" xfId="0" applyFont="1" applyAlignment="1">
      <alignment horizontal="left"/>
    </xf>
    <xf numFmtId="0" fontId="50" fillId="0" borderId="0" xfId="0" applyFont="1" applyAlignment="1">
      <alignment horizontal="left"/>
    </xf>
    <xf numFmtId="0" fontId="7" fillId="33" borderId="16" xfId="0" applyFont="1" applyFill="1" applyBorder="1" applyAlignment="1">
      <alignment horizontal="center"/>
    </xf>
    <xf numFmtId="17" fontId="7" fillId="33" borderId="15" xfId="0" applyNumberFormat="1" applyFont="1" applyFill="1" applyBorder="1" applyAlignment="1">
      <alignment horizontal="center"/>
    </xf>
    <xf numFmtId="17" fontId="7" fillId="33" borderId="26" xfId="0" applyNumberFormat="1" applyFont="1" applyFill="1" applyBorder="1" applyAlignment="1">
      <alignment horizontal="center"/>
    </xf>
    <xf numFmtId="17" fontId="7" fillId="33" borderId="19" xfId="0" applyNumberFormat="1" applyFont="1" applyFill="1" applyBorder="1" applyAlignment="1">
      <alignment horizontal="center"/>
    </xf>
    <xf numFmtId="0" fontId="8" fillId="33" borderId="15" xfId="0" applyFont="1" applyFill="1" applyBorder="1" applyAlignment="1">
      <alignment horizontal="center"/>
    </xf>
    <xf numFmtId="0" fontId="54" fillId="35" borderId="15" xfId="0" applyFont="1" applyFill="1" applyBorder="1" applyAlignment="1">
      <alignment horizontal="center"/>
    </xf>
    <xf numFmtId="0" fontId="11" fillId="35" borderId="15" xfId="0" applyFont="1" applyFill="1" applyBorder="1" applyAlignment="1">
      <alignment horizontal="center"/>
    </xf>
    <xf numFmtId="0" fontId="54" fillId="35" borderId="15" xfId="0" applyFont="1" applyFill="1" applyBorder="1" applyAlignment="1">
      <alignment/>
    </xf>
    <xf numFmtId="0" fontId="54" fillId="35" borderId="26" xfId="0" applyFont="1" applyFill="1" applyBorder="1" applyAlignment="1">
      <alignment/>
    </xf>
    <xf numFmtId="0" fontId="11" fillId="35" borderId="26" xfId="0" applyFont="1" applyFill="1" applyBorder="1" applyAlignment="1">
      <alignment/>
    </xf>
    <xf numFmtId="0" fontId="11" fillId="35" borderId="15" xfId="0" applyFont="1" applyFill="1" applyBorder="1" applyAlignment="1">
      <alignment/>
    </xf>
    <xf numFmtId="17" fontId="7" fillId="35" borderId="15" xfId="0" applyNumberFormat="1" applyFont="1" applyFill="1" applyBorder="1" applyAlignment="1">
      <alignment horizontal="center"/>
    </xf>
    <xf numFmtId="175" fontId="54" fillId="35" borderId="15" xfId="0" applyNumberFormat="1" applyFont="1" applyFill="1" applyBorder="1" applyAlignment="1">
      <alignment horizontal="center"/>
    </xf>
    <xf numFmtId="172" fontId="54" fillId="35" borderId="15" xfId="0" applyNumberFormat="1" applyFont="1" applyFill="1" applyBorder="1" applyAlignment="1">
      <alignment/>
    </xf>
    <xf numFmtId="172" fontId="54" fillId="35" borderId="15" xfId="0" applyNumberFormat="1" applyFont="1" applyFill="1" applyBorder="1" applyAlignment="1">
      <alignment horizontal="right"/>
    </xf>
    <xf numFmtId="172" fontId="54" fillId="35" borderId="26" xfId="0" applyNumberFormat="1" applyFont="1" applyFill="1" applyBorder="1" applyAlignment="1">
      <alignment/>
    </xf>
    <xf numFmtId="172" fontId="54" fillId="35" borderId="26" xfId="0" applyNumberFormat="1" applyFont="1" applyFill="1" applyBorder="1" applyAlignment="1">
      <alignment horizontal="right"/>
    </xf>
    <xf numFmtId="172" fontId="54" fillId="35" borderId="15" xfId="0" applyNumberFormat="1" applyFont="1" applyFill="1" applyBorder="1" applyAlignment="1">
      <alignment/>
    </xf>
    <xf numFmtId="172" fontId="100" fillId="35" borderId="15" xfId="0" applyNumberFormat="1" applyFont="1" applyFill="1" applyBorder="1" applyAlignment="1">
      <alignment/>
    </xf>
    <xf numFmtId="176" fontId="100" fillId="35" borderId="15" xfId="42" applyNumberFormat="1" applyFont="1" applyFill="1" applyBorder="1" applyAlignment="1">
      <alignment horizontal="right"/>
    </xf>
    <xf numFmtId="171" fontId="100" fillId="35" borderId="15" xfId="42" applyNumberFormat="1" applyFont="1" applyFill="1" applyBorder="1" applyAlignment="1">
      <alignment horizontal="right"/>
    </xf>
    <xf numFmtId="172" fontId="54" fillId="35" borderId="15" xfId="0" applyNumberFormat="1" applyFont="1" applyFill="1" applyBorder="1" applyAlignment="1">
      <alignment horizontal="center"/>
    </xf>
    <xf numFmtId="172" fontId="54" fillId="35" borderId="26" xfId="0" applyNumberFormat="1" applyFont="1" applyFill="1" applyBorder="1" applyAlignment="1">
      <alignment horizontal="center"/>
    </xf>
    <xf numFmtId="172" fontId="100" fillId="35" borderId="15" xfId="0" applyNumberFormat="1" applyFont="1" applyFill="1" applyBorder="1" applyAlignment="1">
      <alignment horizontal="right"/>
    </xf>
    <xf numFmtId="175" fontId="100" fillId="35" borderId="15" xfId="42" applyNumberFormat="1" applyFont="1" applyFill="1" applyBorder="1" applyAlignment="1">
      <alignment horizontal="right"/>
    </xf>
    <xf numFmtId="2" fontId="100" fillId="35" borderId="15" xfId="42" applyNumberFormat="1" applyFont="1" applyFill="1" applyBorder="1" applyAlignment="1">
      <alignment horizontal="right"/>
    </xf>
    <xf numFmtId="171" fontId="100" fillId="35" borderId="15" xfId="42" applyFont="1" applyFill="1" applyBorder="1" applyAlignment="1">
      <alignment horizontal="right"/>
    </xf>
    <xf numFmtId="4" fontId="100" fillId="35" borderId="15" xfId="42" applyNumberFormat="1" applyFont="1" applyFill="1" applyBorder="1" applyAlignment="1">
      <alignment horizontal="right"/>
    </xf>
    <xf numFmtId="0" fontId="100" fillId="35" borderId="15" xfId="0" applyFont="1" applyFill="1" applyBorder="1" applyAlignment="1">
      <alignment/>
    </xf>
    <xf numFmtId="171" fontId="100" fillId="35" borderId="15" xfId="0" applyNumberFormat="1" applyFont="1" applyFill="1" applyBorder="1" applyAlignment="1">
      <alignment/>
    </xf>
    <xf numFmtId="0" fontId="54" fillId="35" borderId="15" xfId="0" applyFont="1" applyFill="1" applyBorder="1" applyAlignment="1">
      <alignment horizontal="right"/>
    </xf>
    <xf numFmtId="173" fontId="54" fillId="35" borderId="15" xfId="0" applyNumberFormat="1" applyFont="1" applyFill="1" applyBorder="1" applyAlignment="1">
      <alignment/>
    </xf>
    <xf numFmtId="173" fontId="100" fillId="35" borderId="15" xfId="0" applyNumberFormat="1" applyFont="1" applyFill="1" applyBorder="1" applyAlignment="1">
      <alignment/>
    </xf>
    <xf numFmtId="180" fontId="100" fillId="35" borderId="15" xfId="0" applyNumberFormat="1" applyFont="1" applyFill="1" applyBorder="1" applyAlignment="1">
      <alignment/>
    </xf>
    <xf numFmtId="180" fontId="100" fillId="35" borderId="15" xfId="42" applyNumberFormat="1" applyFont="1" applyFill="1" applyBorder="1" applyAlignment="1">
      <alignment horizontal="right"/>
    </xf>
    <xf numFmtId="173" fontId="54" fillId="35" borderId="15" xfId="0" applyNumberFormat="1" applyFont="1" applyFill="1" applyBorder="1" applyAlignment="1">
      <alignment horizontal="center"/>
    </xf>
    <xf numFmtId="173" fontId="54" fillId="35" borderId="15" xfId="0" applyNumberFormat="1" applyFont="1" applyFill="1" applyBorder="1" applyAlignment="1">
      <alignment horizontal="right"/>
    </xf>
    <xf numFmtId="173" fontId="54" fillId="35" borderId="26" xfId="0" applyNumberFormat="1" applyFont="1" applyFill="1" applyBorder="1" applyAlignment="1">
      <alignment horizontal="right"/>
    </xf>
    <xf numFmtId="173" fontId="100" fillId="35" borderId="15" xfId="0" applyNumberFormat="1" applyFont="1" applyFill="1" applyBorder="1" applyAlignment="1">
      <alignment horizontal="right"/>
    </xf>
    <xf numFmtId="0" fontId="54" fillId="34" borderId="15" xfId="0" applyFont="1" applyFill="1" applyBorder="1" applyAlignment="1">
      <alignment horizontal="center"/>
    </xf>
    <xf numFmtId="0" fontId="8" fillId="33" borderId="15" xfId="0" applyFont="1" applyFill="1" applyBorder="1" applyAlignment="1">
      <alignment horizontal="left" indent="10"/>
    </xf>
    <xf numFmtId="0" fontId="8" fillId="34" borderId="15" xfId="0" applyFont="1" applyFill="1" applyBorder="1" applyAlignment="1">
      <alignment horizontal="center"/>
    </xf>
    <xf numFmtId="0" fontId="11" fillId="34" borderId="15" xfId="0" applyFont="1" applyFill="1" applyBorder="1" applyAlignment="1">
      <alignment horizontal="center"/>
    </xf>
    <xf numFmtId="0" fontId="54" fillId="34" borderId="15" xfId="0" applyFont="1" applyFill="1" applyBorder="1" applyAlignment="1">
      <alignment/>
    </xf>
    <xf numFmtId="0" fontId="11" fillId="34" borderId="15" xfId="0" applyFont="1" applyFill="1" applyBorder="1" applyAlignment="1">
      <alignment/>
    </xf>
    <xf numFmtId="0" fontId="11" fillId="34" borderId="26" xfId="0" applyFont="1" applyFill="1" applyBorder="1" applyAlignment="1">
      <alignment/>
    </xf>
    <xf numFmtId="0" fontId="11" fillId="0" borderId="15" xfId="0" applyFont="1" applyBorder="1" applyAlignment="1">
      <alignment/>
    </xf>
    <xf numFmtId="2" fontId="11" fillId="0" borderId="15" xfId="0" applyNumberFormat="1" applyFont="1" applyBorder="1" applyAlignment="1">
      <alignment/>
    </xf>
    <xf numFmtId="0" fontId="55" fillId="0" borderId="15" xfId="0" applyFont="1" applyBorder="1" applyAlignment="1">
      <alignment horizontal="left"/>
    </xf>
    <xf numFmtId="0" fontId="11" fillId="0" borderId="15" xfId="0" applyFont="1" applyBorder="1" applyAlignment="1">
      <alignment horizontal="center"/>
    </xf>
    <xf numFmtId="0" fontId="11" fillId="0" borderId="26" xfId="0" applyFont="1" applyBorder="1" applyAlignment="1">
      <alignment/>
    </xf>
    <xf numFmtId="0" fontId="100" fillId="40" borderId="15" xfId="0" applyFont="1" applyFill="1" applyBorder="1" applyAlignment="1">
      <alignment/>
    </xf>
    <xf numFmtId="0" fontId="55" fillId="0" borderId="20" xfId="0" applyFont="1" applyBorder="1" applyAlignment="1">
      <alignment horizontal="left"/>
    </xf>
    <xf numFmtId="0" fontId="8" fillId="34" borderId="20" xfId="0" applyFont="1" applyFill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54" fillId="34" borderId="20" xfId="0" applyFont="1" applyFill="1" applyBorder="1" applyAlignment="1">
      <alignment/>
    </xf>
    <xf numFmtId="0" fontId="11" fillId="0" borderId="20" xfId="0" applyFont="1" applyBorder="1" applyAlignment="1">
      <alignment/>
    </xf>
    <xf numFmtId="0" fontId="11" fillId="0" borderId="27" xfId="0" applyFont="1" applyBorder="1" applyAlignment="1">
      <alignment/>
    </xf>
    <xf numFmtId="0" fontId="11" fillId="34" borderId="27" xfId="0" applyFont="1" applyFill="1" applyBorder="1" applyAlignment="1">
      <alignment/>
    </xf>
    <xf numFmtId="2" fontId="11" fillId="0" borderId="20" xfId="0" applyNumberFormat="1" applyFont="1" applyBorder="1" applyAlignment="1">
      <alignment/>
    </xf>
    <xf numFmtId="0" fontId="49" fillId="0" borderId="0" xfId="0" applyFont="1" applyAlignment="1">
      <alignment/>
    </xf>
    <xf numFmtId="2" fontId="1" fillId="0" borderId="0" xfId="0" applyNumberFormat="1" applyFont="1" applyAlignment="1">
      <alignment/>
    </xf>
    <xf numFmtId="0" fontId="52" fillId="0" borderId="0" xfId="0" applyFont="1" applyAlignment="1">
      <alignment/>
    </xf>
    <xf numFmtId="171" fontId="10" fillId="35" borderId="15" xfId="42" applyFont="1" applyFill="1" applyBorder="1" applyAlignment="1">
      <alignment/>
    </xf>
    <xf numFmtId="175" fontId="26" fillId="35" borderId="0" xfId="0" applyNumberFormat="1" applyFont="1" applyFill="1" applyBorder="1" applyAlignment="1">
      <alignment horizontal="right"/>
    </xf>
    <xf numFmtId="175" fontId="4" fillId="35" borderId="0" xfId="0" applyNumberFormat="1" applyFont="1" applyFill="1" applyBorder="1" applyAlignment="1">
      <alignment/>
    </xf>
    <xf numFmtId="175" fontId="4" fillId="35" borderId="0" xfId="0" applyNumberFormat="1" applyFont="1" applyFill="1" applyBorder="1" applyAlignment="1">
      <alignment horizontal="right"/>
    </xf>
    <xf numFmtId="175" fontId="26" fillId="35" borderId="18" xfId="0" applyNumberFormat="1" applyFont="1" applyFill="1" applyBorder="1" applyAlignment="1">
      <alignment horizontal="right"/>
    </xf>
    <xf numFmtId="175" fontId="4" fillId="38" borderId="12" xfId="109" applyNumberFormat="1" applyFont="1" applyFill="1" applyBorder="1">
      <alignment/>
      <protection/>
    </xf>
    <xf numFmtId="0" fontId="4" fillId="35" borderId="37" xfId="114" applyFont="1" applyFill="1" applyBorder="1">
      <alignment/>
      <protection/>
    </xf>
    <xf numFmtId="175" fontId="26" fillId="35" borderId="26" xfId="114" applyNumberFormat="1" applyFont="1" applyFill="1" applyBorder="1">
      <alignment/>
      <protection/>
    </xf>
    <xf numFmtId="175" fontId="4" fillId="35" borderId="26" xfId="114" applyNumberFormat="1" applyFont="1" applyFill="1" applyBorder="1">
      <alignment/>
      <protection/>
    </xf>
    <xf numFmtId="175" fontId="26" fillId="35" borderId="27" xfId="114" applyNumberFormat="1" applyFont="1" applyFill="1" applyBorder="1">
      <alignment/>
      <protection/>
    </xf>
    <xf numFmtId="175" fontId="15" fillId="35" borderId="37" xfId="0" applyNumberFormat="1" applyFont="1" applyFill="1" applyBorder="1" applyAlignment="1">
      <alignment/>
    </xf>
    <xf numFmtId="175" fontId="26" fillId="35" borderId="26" xfId="108" applyNumberFormat="1" applyFont="1" applyFill="1" applyBorder="1">
      <alignment/>
      <protection/>
    </xf>
    <xf numFmtId="175" fontId="4" fillId="35" borderId="26" xfId="108" applyNumberFormat="1" applyFont="1" applyFill="1" applyBorder="1">
      <alignment/>
      <protection/>
    </xf>
    <xf numFmtId="175" fontId="4" fillId="35" borderId="27" xfId="108" applyNumberFormat="1" applyFont="1" applyFill="1" applyBorder="1">
      <alignment/>
      <protection/>
    </xf>
    <xf numFmtId="0" fontId="4" fillId="36" borderId="37" xfId="0" applyFont="1" applyFill="1" applyBorder="1" applyAlignment="1">
      <alignment/>
    </xf>
    <xf numFmtId="175" fontId="26" fillId="36" borderId="26" xfId="109" applyNumberFormat="1" applyFont="1" applyFill="1" applyBorder="1">
      <alignment/>
      <protection/>
    </xf>
    <xf numFmtId="175" fontId="4" fillId="39" borderId="26" xfId="109" applyNumberFormat="1" applyFont="1" applyFill="1" applyBorder="1">
      <alignment/>
      <protection/>
    </xf>
    <xf numFmtId="175" fontId="4" fillId="38" borderId="26" xfId="109" applyNumberFormat="1" applyFont="1" applyFill="1" applyBorder="1">
      <alignment/>
      <protection/>
    </xf>
    <xf numFmtId="175" fontId="4" fillId="38" borderId="27" xfId="109" applyNumberFormat="1" applyFont="1" applyFill="1" applyBorder="1">
      <alignment/>
      <protection/>
    </xf>
    <xf numFmtId="2" fontId="9" fillId="32" borderId="15" xfId="0" applyNumberFormat="1" applyFont="1" applyFill="1" applyBorder="1" applyAlignment="1">
      <alignment/>
    </xf>
    <xf numFmtId="0" fontId="3" fillId="0" borderId="0" xfId="0" applyFont="1" applyAlignment="1">
      <alignment horizontal="left" vertical="top"/>
    </xf>
    <xf numFmtId="0" fontId="20" fillId="33" borderId="30" xfId="0" applyFont="1" applyFill="1" applyBorder="1" applyAlignment="1">
      <alignment horizontal="center"/>
    </xf>
    <xf numFmtId="0" fontId="20" fillId="33" borderId="0" xfId="0" applyFont="1" applyFill="1" applyBorder="1" applyAlignment="1">
      <alignment horizontal="center"/>
    </xf>
    <xf numFmtId="0" fontId="20" fillId="33" borderId="31" xfId="0" applyFont="1" applyFill="1" applyBorder="1" applyAlignment="1">
      <alignment horizontal="center"/>
    </xf>
    <xf numFmtId="0" fontId="20" fillId="33" borderId="21" xfId="0" applyFont="1" applyFill="1" applyBorder="1" applyAlignment="1">
      <alignment horizontal="center"/>
    </xf>
    <xf numFmtId="46" fontId="13" fillId="33" borderId="32" xfId="0" applyNumberFormat="1" applyFont="1" applyFill="1" applyBorder="1" applyAlignment="1">
      <alignment horizontal="center"/>
    </xf>
    <xf numFmtId="46" fontId="13" fillId="33" borderId="38" xfId="0" applyNumberFormat="1" applyFont="1" applyFill="1" applyBorder="1" applyAlignment="1">
      <alignment horizontal="center"/>
    </xf>
    <xf numFmtId="46" fontId="13" fillId="33" borderId="39" xfId="0" applyNumberFormat="1" applyFont="1" applyFill="1" applyBorder="1" applyAlignment="1">
      <alignment horizontal="center"/>
    </xf>
    <xf numFmtId="46" fontId="13" fillId="33" borderId="31" xfId="0" applyNumberFormat="1" applyFont="1" applyFill="1" applyBorder="1" applyAlignment="1">
      <alignment horizontal="center"/>
    </xf>
    <xf numFmtId="46" fontId="13" fillId="33" borderId="33" xfId="0" applyNumberFormat="1" applyFont="1" applyFill="1" applyBorder="1" applyAlignment="1">
      <alignment horizontal="center"/>
    </xf>
    <xf numFmtId="46" fontId="13" fillId="33" borderId="21" xfId="0" applyNumberFormat="1" applyFont="1" applyFill="1" applyBorder="1" applyAlignment="1">
      <alignment horizontal="center"/>
    </xf>
    <xf numFmtId="46" fontId="13" fillId="33" borderId="40" xfId="0" applyNumberFormat="1" applyFont="1" applyFill="1" applyBorder="1" applyAlignment="1">
      <alignment horizontal="center"/>
    </xf>
    <xf numFmtId="0" fontId="101" fillId="0" borderId="0" xfId="0" applyFont="1" applyAlignment="1">
      <alignment/>
    </xf>
    <xf numFmtId="0" fontId="2" fillId="34" borderId="0" xfId="0" applyNumberFormat="1" applyFont="1" applyFill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6" fillId="34" borderId="0" xfId="0" applyNumberFormat="1" applyFont="1" applyFill="1" applyAlignment="1">
      <alignment horizontal="left"/>
    </xf>
    <xf numFmtId="0" fontId="58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102" fillId="0" borderId="0" xfId="0" applyFont="1" applyAlignment="1">
      <alignment horizontal="left"/>
    </xf>
    <xf numFmtId="0" fontId="49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0" fillId="0" borderId="38" xfId="0" applyBorder="1" applyAlignment="1">
      <alignment horizontal="center"/>
    </xf>
    <xf numFmtId="0" fontId="0" fillId="0" borderId="41" xfId="0" applyBorder="1" applyAlignment="1">
      <alignment horizontal="center"/>
    </xf>
    <xf numFmtId="0" fontId="20" fillId="33" borderId="42" xfId="0" applyFont="1" applyFill="1" applyBorder="1" applyAlignment="1">
      <alignment horizontal="center"/>
    </xf>
    <xf numFmtId="0" fontId="20" fillId="33" borderId="22" xfId="0" applyFont="1" applyFill="1" applyBorder="1" applyAlignment="1">
      <alignment horizontal="center"/>
    </xf>
    <xf numFmtId="0" fontId="20" fillId="33" borderId="43" xfId="0" applyFont="1" applyFill="1" applyBorder="1" applyAlignment="1">
      <alignment horizontal="center"/>
    </xf>
    <xf numFmtId="0" fontId="20" fillId="33" borderId="29" xfId="0" applyFont="1" applyFill="1" applyBorder="1" applyAlignment="1">
      <alignment horizontal="center"/>
    </xf>
    <xf numFmtId="0" fontId="20" fillId="33" borderId="40" xfId="0" applyFont="1" applyFill="1" applyBorder="1" applyAlignment="1">
      <alignment horizontal="center"/>
    </xf>
    <xf numFmtId="0" fontId="20" fillId="33" borderId="12" xfId="0" applyFont="1" applyFill="1" applyBorder="1" applyAlignment="1">
      <alignment horizontal="center"/>
    </xf>
    <xf numFmtId="0" fontId="20" fillId="33" borderId="18" xfId="0" applyFont="1" applyFill="1" applyBorder="1" applyAlignment="1">
      <alignment horizontal="center"/>
    </xf>
    <xf numFmtId="0" fontId="20" fillId="33" borderId="27" xfId="0" applyFont="1" applyFill="1" applyBorder="1" applyAlignment="1">
      <alignment horizontal="center"/>
    </xf>
  </cellXfs>
  <cellStyles count="11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" xfId="44"/>
    <cellStyle name="Comma 11" xfId="45"/>
    <cellStyle name="Comma 12" xfId="46"/>
    <cellStyle name="Comma 13" xfId="47"/>
    <cellStyle name="Comma 14" xfId="48"/>
    <cellStyle name="Comma 15" xfId="49"/>
    <cellStyle name="Comma 16" xfId="50"/>
    <cellStyle name="Comma 17" xfId="51"/>
    <cellStyle name="Comma 18" xfId="52"/>
    <cellStyle name="Comma 2" xfId="53"/>
    <cellStyle name="Comma 3" xfId="54"/>
    <cellStyle name="Comma 4" xfId="55"/>
    <cellStyle name="Comma 5" xfId="56"/>
    <cellStyle name="Comma 6" xfId="57"/>
    <cellStyle name="Comma 7" xfId="58"/>
    <cellStyle name="Comma 8" xfId="59"/>
    <cellStyle name="Comma 9" xfId="60"/>
    <cellStyle name="Currency" xfId="61"/>
    <cellStyle name="Currency [0]" xfId="62"/>
    <cellStyle name="Explanatory Text" xfId="63"/>
    <cellStyle name="F2" xfId="64"/>
    <cellStyle name="F3" xfId="65"/>
    <cellStyle name="F4" xfId="66"/>
    <cellStyle name="F5" xfId="67"/>
    <cellStyle name="F5 10" xfId="68"/>
    <cellStyle name="F5 11" xfId="69"/>
    <cellStyle name="F5 12" xfId="70"/>
    <cellStyle name="F5 13" xfId="71"/>
    <cellStyle name="F5 14" xfId="72"/>
    <cellStyle name="F5 2" xfId="73"/>
    <cellStyle name="F5 3" xfId="74"/>
    <cellStyle name="F5 4" xfId="75"/>
    <cellStyle name="F5 5" xfId="76"/>
    <cellStyle name="F5 6" xfId="77"/>
    <cellStyle name="F5 7" xfId="78"/>
    <cellStyle name="F5 8" xfId="79"/>
    <cellStyle name="F5 9" xfId="80"/>
    <cellStyle name="F6" xfId="81"/>
    <cellStyle name="F7" xfId="82"/>
    <cellStyle name="F7 10" xfId="83"/>
    <cellStyle name="F7 11" xfId="84"/>
    <cellStyle name="F7 12" xfId="85"/>
    <cellStyle name="F7 13" xfId="86"/>
    <cellStyle name="F7 14" xfId="87"/>
    <cellStyle name="F7 2" xfId="88"/>
    <cellStyle name="F7 3" xfId="89"/>
    <cellStyle name="F7 4" xfId="90"/>
    <cellStyle name="F7 5" xfId="91"/>
    <cellStyle name="F7 6" xfId="92"/>
    <cellStyle name="F7 7" xfId="93"/>
    <cellStyle name="F7 8" xfId="94"/>
    <cellStyle name="F7 9" xfId="95"/>
    <cellStyle name="F8" xfId="96"/>
    <cellStyle name="Followed Hyperlink" xfId="97"/>
    <cellStyle name="Good" xfId="98"/>
    <cellStyle name="Heading 1" xfId="99"/>
    <cellStyle name="Heading 2" xfId="100"/>
    <cellStyle name="Heading 3" xfId="101"/>
    <cellStyle name="Heading 4" xfId="102"/>
    <cellStyle name="Hyperlink" xfId="103"/>
    <cellStyle name="Input" xfId="104"/>
    <cellStyle name="Linked Cell" xfId="105"/>
    <cellStyle name="Neutral" xfId="106"/>
    <cellStyle name="Normal 10" xfId="107"/>
    <cellStyle name="Normal 11" xfId="108"/>
    <cellStyle name="Normal 12" xfId="109"/>
    <cellStyle name="Normal 13" xfId="110"/>
    <cellStyle name="Normal 14" xfId="111"/>
    <cellStyle name="Normal 2" xfId="112"/>
    <cellStyle name="Normal 2 2" xfId="113"/>
    <cellStyle name="Normal 3" xfId="114"/>
    <cellStyle name="Normal 4" xfId="115"/>
    <cellStyle name="Normal 5" xfId="116"/>
    <cellStyle name="Normal 6" xfId="117"/>
    <cellStyle name="Normal 7" xfId="118"/>
    <cellStyle name="Normal 8" xfId="119"/>
    <cellStyle name="Normal 9" xfId="120"/>
    <cellStyle name="Normal_S7" xfId="121"/>
    <cellStyle name="Note" xfId="122"/>
    <cellStyle name="Output" xfId="123"/>
    <cellStyle name="Percent" xfId="124"/>
    <cellStyle name="Title" xfId="125"/>
    <cellStyle name="Total" xfId="126"/>
    <cellStyle name="Warning Text" xfId="12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1"/>
          <c:y val="0.00625"/>
          <c:w val="0.9385"/>
          <c:h val="0.95975"/>
        </c:manualLayout>
      </c:layout>
      <c:lineChart>
        <c:grouping val="stacked"/>
        <c:varyColors val="0"/>
        <c:ser>
          <c:idx val="1"/>
          <c:order val="0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'S6'!$BT$4:$CI$4</c:f>
              <c:strCache>
                <c:ptCount val="13"/>
                <c:pt idx="0">
                  <c:v>39872</c:v>
                </c:pt>
                <c:pt idx="1">
                  <c:v>39903</c:v>
                </c:pt>
                <c:pt idx="2">
                  <c:v>39933</c:v>
                </c:pt>
                <c:pt idx="3">
                  <c:v>39964</c:v>
                </c:pt>
                <c:pt idx="4">
                  <c:v>39994</c:v>
                </c:pt>
                <c:pt idx="5">
                  <c:v>40025</c:v>
                </c:pt>
                <c:pt idx="6">
                  <c:v>40056</c:v>
                </c:pt>
                <c:pt idx="7">
                  <c:v>40086</c:v>
                </c:pt>
                <c:pt idx="8">
                  <c:v>40117</c:v>
                </c:pt>
                <c:pt idx="9">
                  <c:v>40147</c:v>
                </c:pt>
                <c:pt idx="10">
                  <c:v>40177</c:v>
                </c:pt>
                <c:pt idx="11">
                  <c:v>40208</c:v>
                </c:pt>
                <c:pt idx="12">
                  <c:v>40237</c:v>
                </c:pt>
              </c:strCache>
            </c:strRef>
          </c:cat>
          <c:val>
            <c:numRef>
              <c:f>'S6'!$BT$13:$CI$13</c:f>
              <c:numCache>
                <c:ptCount val="13"/>
                <c:pt idx="0">
                  <c:v>0.09994003597841294</c:v>
                </c:pt>
                <c:pt idx="1">
                  <c:v>0.1000680462714646</c:v>
                </c:pt>
                <c:pt idx="2">
                  <c:v>0.11088933244621867</c:v>
                </c:pt>
                <c:pt idx="3">
                  <c:v>0.11944149158534693</c:v>
                </c:pt>
                <c:pt idx="4">
                  <c:v>0.12419583198787848</c:v>
                </c:pt>
                <c:pt idx="5">
                  <c:v>0.12576559807830168</c:v>
                </c:pt>
                <c:pt idx="6">
                  <c:v>0.12592079581942958</c:v>
                </c:pt>
                <c:pt idx="7">
                  <c:v>0.1329168605037549</c:v>
                </c:pt>
                <c:pt idx="8">
                  <c:v>0.1329168605037549</c:v>
                </c:pt>
                <c:pt idx="9">
                  <c:v>0.1329168605037549</c:v>
                </c:pt>
                <c:pt idx="10">
                  <c:v>0.13352204448954522</c:v>
                </c:pt>
                <c:pt idx="11">
                  <c:v>0.13417955908596885</c:v>
                </c:pt>
                <c:pt idx="12">
                  <c:v>0.1289</c:v>
                </c:pt>
              </c:numCache>
            </c:numRef>
          </c:val>
          <c:smooth val="1"/>
        </c:ser>
        <c:marker val="1"/>
        <c:axId val="15417639"/>
        <c:axId val="4541024"/>
      </c:lineChart>
      <c:dateAx>
        <c:axId val="15417639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4500000"/>
          <a:lstStyle/>
          <a:p>
            <a:pPr>
              <a:defRPr lang="en-US" cap="none" sz="1000" b="0" i="0" u="none" baseline="0">
                <a:solidFill>
                  <a:srgbClr val="993366"/>
                </a:solidFill>
              </a:defRPr>
            </a:pPr>
          </a:p>
        </c:txPr>
        <c:crossAx val="4541024"/>
        <c:crossesAt val="0.08900000000000005"/>
        <c:auto val="0"/>
        <c:baseTimeUnit val="months"/>
        <c:majorUnit val="1"/>
        <c:majorTimeUnit val="months"/>
        <c:minorUnit val="1"/>
        <c:minorTimeUnit val="days"/>
        <c:noMultiLvlLbl val="0"/>
      </c:dateAx>
      <c:valAx>
        <c:axId val="4541024"/>
        <c:scaling>
          <c:orientation val="minMax"/>
          <c:max val="0.15000000000000008"/>
          <c:min val="0.09000000000000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993366"/>
                    </a:solidFill>
                  </a:rPr>
                  <a:t>Cents</a:t>
                </a:r>
              </a:p>
            </c:rich>
          </c:tx>
          <c:layout>
            <c:manualLayout>
              <c:xMode val="factor"/>
              <c:yMode val="factor"/>
              <c:x val="-0.0085"/>
              <c:y val="-0.004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417639"/>
        <c:crossesAt val="1"/>
        <c:crossBetween val="between"/>
        <c:dispUnits/>
        <c:majorUnit val="0.01000000000000000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993366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Relationship Id="rId2" Type="http://schemas.openxmlformats.org/officeDocument/2006/relationships/image" Target="../media/image1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3.jpeg" /><Relationship Id="rId2" Type="http://schemas.openxmlformats.org/officeDocument/2006/relationships/image" Target="../media/image14.jpeg" /><Relationship Id="rId3" Type="http://schemas.openxmlformats.org/officeDocument/2006/relationships/image" Target="../media/image15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2</xdr:row>
      <xdr:rowOff>19050</xdr:rowOff>
    </xdr:from>
    <xdr:to>
      <xdr:col>0</xdr:col>
      <xdr:colOff>4524375</xdr:colOff>
      <xdr:row>5</xdr:row>
      <xdr:rowOff>228600</xdr:rowOff>
    </xdr:to>
    <xdr:pic>
      <xdr:nvPicPr>
        <xdr:cNvPr id="1" name="Picture 33" descr="seriena"/>
        <xdr:cNvPicPr preferRelativeResize="1">
          <a:picLocks noChangeAspect="1"/>
        </xdr:cNvPicPr>
      </xdr:nvPicPr>
      <xdr:blipFill>
        <a:blip r:embed="rId1"/>
        <a:srcRect l="11538" r="38461" b="13333"/>
        <a:stretch>
          <a:fillRect/>
        </a:stretch>
      </xdr:blipFill>
      <xdr:spPr>
        <a:xfrm>
          <a:off x="2800350" y="638175"/>
          <a:ext cx="1724025" cy="1581150"/>
        </a:xfrm>
        <a:prstGeom prst="rect">
          <a:avLst/>
        </a:prstGeom>
        <a:solidFill>
          <a:srgbClr val="800000"/>
        </a:solid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371475</xdr:colOff>
      <xdr:row>34</xdr:row>
      <xdr:rowOff>123825</xdr:rowOff>
    </xdr:from>
    <xdr:to>
      <xdr:col>13</xdr:col>
      <xdr:colOff>9525</xdr:colOff>
      <xdr:row>50</xdr:row>
      <xdr:rowOff>85725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" y="6591300"/>
          <a:ext cx="7067550" cy="2514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352425</xdr:colOff>
      <xdr:row>9</xdr:row>
      <xdr:rowOff>57150</xdr:rowOff>
    </xdr:from>
    <xdr:to>
      <xdr:col>12</xdr:col>
      <xdr:colOff>228600</xdr:colOff>
      <xdr:row>24</xdr:row>
      <xdr:rowOff>171450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71550" y="1752600"/>
          <a:ext cx="6686550" cy="2971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552450</xdr:colOff>
      <xdr:row>6</xdr:row>
      <xdr:rowOff>85725</xdr:rowOff>
    </xdr:from>
    <xdr:to>
      <xdr:col>13</xdr:col>
      <xdr:colOff>581025</xdr:colOff>
      <xdr:row>28</xdr:row>
      <xdr:rowOff>28575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1257300"/>
          <a:ext cx="7953375" cy="3533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581025</xdr:colOff>
      <xdr:row>39</xdr:row>
      <xdr:rowOff>104775</xdr:rowOff>
    </xdr:from>
    <xdr:to>
      <xdr:col>14</xdr:col>
      <xdr:colOff>19050</xdr:colOff>
      <xdr:row>63</xdr:row>
      <xdr:rowOff>28575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1025" y="6610350"/>
          <a:ext cx="7972425" cy="3629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48</xdr:row>
      <xdr:rowOff>0</xdr:rowOff>
    </xdr:from>
    <xdr:to>
      <xdr:col>12</xdr:col>
      <xdr:colOff>47625</xdr:colOff>
      <xdr:row>66</xdr:row>
      <xdr:rowOff>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9067800"/>
          <a:ext cx="6753225" cy="3057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95250</xdr:colOff>
      <xdr:row>4</xdr:row>
      <xdr:rowOff>133350</xdr:rowOff>
    </xdr:from>
    <xdr:to>
      <xdr:col>12</xdr:col>
      <xdr:colOff>9525</xdr:colOff>
      <xdr:row>19</xdr:row>
      <xdr:rowOff>133350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" y="942975"/>
          <a:ext cx="6619875" cy="2914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25</xdr:row>
      <xdr:rowOff>123825</xdr:rowOff>
    </xdr:from>
    <xdr:to>
      <xdr:col>12</xdr:col>
      <xdr:colOff>57150</xdr:colOff>
      <xdr:row>40</xdr:row>
      <xdr:rowOff>114300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28600" y="5000625"/>
          <a:ext cx="6762750" cy="2867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30</xdr:row>
      <xdr:rowOff>161925</xdr:rowOff>
    </xdr:from>
    <xdr:to>
      <xdr:col>12</xdr:col>
      <xdr:colOff>285750</xdr:colOff>
      <xdr:row>51</xdr:row>
      <xdr:rowOff>104775</xdr:rowOff>
    </xdr:to>
    <xdr:graphicFrame>
      <xdr:nvGraphicFramePr>
        <xdr:cNvPr id="1" name="Chart 9"/>
        <xdr:cNvGraphicFramePr/>
      </xdr:nvGraphicFramePr>
      <xdr:xfrm>
        <a:off x="285750" y="5095875"/>
        <a:ext cx="7286625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381000</xdr:colOff>
      <xdr:row>4</xdr:row>
      <xdr:rowOff>161925</xdr:rowOff>
    </xdr:from>
    <xdr:to>
      <xdr:col>12</xdr:col>
      <xdr:colOff>161925</xdr:colOff>
      <xdr:row>22</xdr:row>
      <xdr:rowOff>104775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0" y="847725"/>
          <a:ext cx="7067550" cy="2857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Statistics%20and%20Publications%20Division\Monetary%20and%20Financial\Monetary%20Data\New%20Framework%20(Roman)\Compilation%20Worksheet\Working%20Files\Output%20tables\Set%20of%20Tables-Link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Statistics%20and%20Publications%20Division\Monetary%20and%20Financial%20Statistics\Monetary%20Data\New%20Framework%20(Roman)\MFS%20revisions\New%20Compilation%20Workbook\MFS%20compilation%20fil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e ii.1(a)"/>
      <sheetName val="table ii.1 (b)"/>
      <sheetName val="table ii.2(a)"/>
      <sheetName val="table ii.2(b)"/>
      <sheetName val="table ii. 3"/>
      <sheetName val="table ii. 4"/>
      <sheetName val="table ii.5"/>
      <sheetName val="M1 M2 Chart"/>
      <sheetName val="Int reser chart"/>
      <sheetName val=" PSC chart"/>
      <sheetName val="Nedbank"/>
      <sheetName val="BON Financials"/>
      <sheetName val="CBS"/>
      <sheetName val="BON_ODC"/>
      <sheetName val="Interbank Position"/>
      <sheetName val="BWK"/>
      <sheetName val="STD"/>
      <sheetName val="FNB"/>
      <sheetName val="Agribank"/>
      <sheetName val="NHE"/>
      <sheetName val="NamPost"/>
      <sheetName val="SB(ignore)"/>
      <sheetName val="CSIB(ignore)"/>
      <sheetName val="DCS"/>
      <sheetName val="ODCS"/>
      <sheetName val="Selected 1"/>
      <sheetName val="Selected 2"/>
      <sheetName val="table ii.6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ON Financials"/>
      <sheetName val="CBS"/>
      <sheetName val="BON_ODC"/>
      <sheetName val="Interbank Position"/>
      <sheetName val="FNB"/>
      <sheetName val="BWK"/>
      <sheetName val="STD"/>
      <sheetName val="Nedbank"/>
      <sheetName val="Agribank"/>
      <sheetName val="NHE"/>
      <sheetName val="NamPost"/>
      <sheetName val="SB(ignore)"/>
      <sheetName val="CSIB(ignore)"/>
      <sheetName val="ODCS"/>
      <sheetName val="DCS"/>
      <sheetName val="Selected 1"/>
      <sheetName val="Selected 2"/>
      <sheetName val="SRF1"/>
      <sheetName val="SRF2"/>
      <sheetName val="SRF5"/>
      <sheetName val="Sheet1"/>
    </sheetNames>
    <sheetDataSet>
      <sheetData sheetId="14">
        <row r="22">
          <cell r="CG22">
            <v>264.90775324</v>
          </cell>
          <cell r="CS22">
            <v>247.19918702</v>
          </cell>
        </row>
        <row r="23">
          <cell r="CG23">
            <v>910.0987401299999</v>
          </cell>
          <cell r="CS23">
            <v>1952.4334728052063</v>
          </cell>
        </row>
        <row r="24">
          <cell r="CG24">
            <v>10306.890017149564</v>
          </cell>
          <cell r="CS24">
            <v>12076.197598720002</v>
          </cell>
        </row>
        <row r="32">
          <cell r="CG32">
            <v>4355.02716667</v>
          </cell>
          <cell r="CS32">
            <v>3901.47036212</v>
          </cell>
        </row>
        <row r="39">
          <cell r="CG39">
            <v>3.924901095460822</v>
          </cell>
          <cell r="CS39">
            <v>3.93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20"/>
  <sheetViews>
    <sheetView zoomScalePageLayoutView="0" workbookViewId="0" topLeftCell="A16">
      <selection activeCell="A29" sqref="A29"/>
    </sheetView>
  </sheetViews>
  <sheetFormatPr defaultColWidth="9.140625" defaultRowHeight="12"/>
  <cols>
    <col min="1" max="1" width="113.28125" style="0" bestFit="1" customWidth="1"/>
  </cols>
  <sheetData>
    <row r="1" ht="11.25">
      <c r="A1" t="s">
        <v>100</v>
      </c>
    </row>
    <row r="2" ht="37.5">
      <c r="A2" s="24"/>
    </row>
    <row r="3" ht="37.5">
      <c r="A3" s="24"/>
    </row>
    <row r="4" ht="33">
      <c r="A4" s="25"/>
    </row>
    <row r="5" ht="37.5">
      <c r="A5" s="24"/>
    </row>
    <row r="6" ht="33">
      <c r="A6" s="25"/>
    </row>
    <row r="7" ht="37.5">
      <c r="A7" s="26"/>
    </row>
    <row r="8" ht="37.5">
      <c r="A8" s="26"/>
    </row>
    <row r="9" ht="33">
      <c r="A9" s="61"/>
    </row>
    <row r="11" ht="40.5">
      <c r="A11" s="27"/>
    </row>
    <row r="12" ht="40.5">
      <c r="A12" s="27"/>
    </row>
    <row r="13" ht="40.5">
      <c r="A13" s="27" t="s">
        <v>44</v>
      </c>
    </row>
    <row r="14" ht="40.5">
      <c r="A14" s="27"/>
    </row>
    <row r="15" ht="40.5">
      <c r="A15" s="27" t="s">
        <v>45</v>
      </c>
    </row>
    <row r="16" ht="40.5">
      <c r="A16" s="27"/>
    </row>
    <row r="17" ht="40.5">
      <c r="A17" s="27" t="s">
        <v>46</v>
      </c>
    </row>
    <row r="18" ht="40.5">
      <c r="A18" s="27"/>
    </row>
    <row r="19" ht="40.5">
      <c r="A19" s="29">
        <v>40210</v>
      </c>
    </row>
    <row r="20" ht="40.5">
      <c r="A20" s="28"/>
    </row>
  </sheetData>
  <sheetProtection/>
  <printOptions/>
  <pageMargins left="0.75" right="0.75" top="1" bottom="1" header="0.5" footer="0.5"/>
  <pageSetup fitToHeight="1" fitToWidth="1" horizontalDpi="600" verticalDpi="60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B2:N62"/>
  <sheetViews>
    <sheetView zoomScalePageLayoutView="0" workbookViewId="0" topLeftCell="A1">
      <selection activeCell="B61" sqref="B61"/>
    </sheetView>
  </sheetViews>
  <sheetFormatPr defaultColWidth="9.140625" defaultRowHeight="12"/>
  <cols>
    <col min="2" max="2" width="50.8515625" style="0" customWidth="1"/>
    <col min="3" max="3" width="9.7109375" style="0" customWidth="1"/>
    <col min="4" max="4" width="10.140625" style="0" customWidth="1"/>
    <col min="5" max="5" width="12.00390625" style="0" customWidth="1"/>
    <col min="6" max="6" width="9.8515625" style="0" customWidth="1"/>
    <col min="7" max="8" width="9.28125" style="0" customWidth="1"/>
    <col min="9" max="9" width="7.00390625" style="0" customWidth="1"/>
    <col min="10" max="10" width="7.421875" style="0" customWidth="1"/>
    <col min="11" max="11" width="9.140625" style="0" hidden="1" customWidth="1"/>
    <col min="12" max="12" width="9.7109375" style="0" bestFit="1" customWidth="1"/>
  </cols>
  <sheetData>
    <row r="2" spans="2:12" ht="11.25">
      <c r="B2" s="291" t="s">
        <v>75</v>
      </c>
      <c r="C2" s="292"/>
      <c r="D2" s="292"/>
      <c r="E2" s="292"/>
      <c r="F2" s="292"/>
      <c r="G2" s="292"/>
      <c r="H2" s="292"/>
      <c r="I2" s="292"/>
      <c r="J2" s="292"/>
      <c r="K2" s="292"/>
      <c r="L2" s="201"/>
    </row>
    <row r="3" spans="2:12" ht="11.25">
      <c r="B3" s="294" t="s">
        <v>116</v>
      </c>
      <c r="C3" s="294"/>
      <c r="D3" s="294"/>
      <c r="E3" s="294"/>
      <c r="F3" s="294"/>
      <c r="G3" s="294"/>
      <c r="H3" s="294"/>
      <c r="I3" s="294"/>
      <c r="J3" s="294"/>
      <c r="K3" s="294"/>
      <c r="L3" s="204"/>
    </row>
    <row r="4" spans="2:12" ht="11.25">
      <c r="B4" s="70"/>
      <c r="C4" s="22"/>
      <c r="D4" s="22"/>
      <c r="E4" s="22"/>
      <c r="F4" s="295" t="s">
        <v>107</v>
      </c>
      <c r="G4" s="297"/>
      <c r="H4" s="128" t="s">
        <v>126</v>
      </c>
      <c r="I4" s="295" t="s">
        <v>161</v>
      </c>
      <c r="J4" s="296"/>
      <c r="K4" s="297"/>
      <c r="L4" s="204" t="s">
        <v>162</v>
      </c>
    </row>
    <row r="5" spans="2:12" ht="11.25">
      <c r="B5" s="71"/>
      <c r="C5" s="12">
        <v>39845</v>
      </c>
      <c r="D5" s="12">
        <f>C5+360</f>
        <v>40205</v>
      </c>
      <c r="E5" s="12">
        <f>D5+30</f>
        <v>40235</v>
      </c>
      <c r="F5" s="12" t="s">
        <v>156</v>
      </c>
      <c r="G5" s="59" t="s">
        <v>157</v>
      </c>
      <c r="H5" s="59" t="s">
        <v>170</v>
      </c>
      <c r="I5" s="12">
        <v>40148</v>
      </c>
      <c r="J5" s="12">
        <v>40179</v>
      </c>
      <c r="K5" s="12">
        <v>40210</v>
      </c>
      <c r="L5" s="12">
        <v>40210</v>
      </c>
    </row>
    <row r="6" spans="2:12" ht="11.25">
      <c r="B6" s="72"/>
      <c r="C6" s="138"/>
      <c r="D6" s="138"/>
      <c r="E6" s="138"/>
      <c r="F6" s="139"/>
      <c r="G6" s="139"/>
      <c r="H6" s="139"/>
      <c r="I6" s="135"/>
      <c r="J6" s="135"/>
      <c r="K6" s="135"/>
      <c r="L6" s="276"/>
    </row>
    <row r="7" spans="2:14" ht="11.25">
      <c r="B7" s="73" t="s">
        <v>1</v>
      </c>
      <c r="C7" s="38">
        <v>15336.850870576163</v>
      </c>
      <c r="D7" s="133">
        <v>18858.724056108378</v>
      </c>
      <c r="E7" s="133">
        <v>18283.490339990003</v>
      </c>
      <c r="F7" s="38">
        <v>-575.233716118375</v>
      </c>
      <c r="G7" s="133">
        <v>2946.63946941384</v>
      </c>
      <c r="H7" s="133">
        <v>-3.0502260619909527</v>
      </c>
      <c r="I7" s="133">
        <v>24.627913920975764</v>
      </c>
      <c r="J7" s="133">
        <v>11.875018445361786</v>
      </c>
      <c r="K7" s="133">
        <v>19.21280642473342</v>
      </c>
      <c r="L7" s="277">
        <v>19.21280642473342</v>
      </c>
      <c r="N7" s="54"/>
    </row>
    <row r="8" spans="2:12" ht="11.25">
      <c r="B8" s="73" t="s">
        <v>72</v>
      </c>
      <c r="C8" s="38">
        <v>30044.090018650288</v>
      </c>
      <c r="D8" s="133">
        <v>33420.223409450155</v>
      </c>
      <c r="E8" s="133">
        <v>33727.36348329056</v>
      </c>
      <c r="F8" s="271">
        <v>307.1400738404045</v>
      </c>
      <c r="G8" s="141">
        <v>3683.2734646402714</v>
      </c>
      <c r="H8" s="133">
        <v>0.9190245980030022</v>
      </c>
      <c r="I8" s="133">
        <v>6.596131112894943</v>
      </c>
      <c r="J8" s="133">
        <v>11.81382365150605</v>
      </c>
      <c r="K8" s="133">
        <v>12.259560740078435</v>
      </c>
      <c r="L8" s="277">
        <v>12.259560740078435</v>
      </c>
    </row>
    <row r="9" spans="2:12" ht="11.25">
      <c r="B9" s="75" t="s">
        <v>135</v>
      </c>
      <c r="C9" s="272">
        <v>-6693.999046899724</v>
      </c>
      <c r="D9" s="134">
        <v>-6751.692881629853</v>
      </c>
      <c r="E9" s="134">
        <v>-5985.224757806302</v>
      </c>
      <c r="F9" s="273">
        <v>766.4681238235517</v>
      </c>
      <c r="G9" s="137">
        <v>708.7742890934223</v>
      </c>
      <c r="H9" s="134">
        <v>-11.352236205959162</v>
      </c>
      <c r="I9" s="134">
        <v>25.911817924175207</v>
      </c>
      <c r="J9" s="134">
        <v>0.5032884944210725</v>
      </c>
      <c r="K9" s="134">
        <v>-10.58820421287161</v>
      </c>
      <c r="L9" s="278">
        <v>-10.58820421287161</v>
      </c>
    </row>
    <row r="10" spans="2:12" ht="11.25">
      <c r="B10" s="75" t="s">
        <v>133</v>
      </c>
      <c r="C10" s="272">
        <v>36738.08906555001</v>
      </c>
      <c r="D10" s="134">
        <v>40171.91629108001</v>
      </c>
      <c r="E10" s="134">
        <v>39712.58824109686</v>
      </c>
      <c r="F10" s="273">
        <v>-459.3280499831453</v>
      </c>
      <c r="G10" s="137">
        <v>2974.499175546851</v>
      </c>
      <c r="H10" s="134">
        <v>-1.1434058725377187</v>
      </c>
      <c r="I10" s="134">
        <v>9.047967837341098</v>
      </c>
      <c r="J10" s="134">
        <v>9.738189524337116</v>
      </c>
      <c r="K10" s="134">
        <v>8.096499440239246</v>
      </c>
      <c r="L10" s="278">
        <v>8.096499440239246</v>
      </c>
    </row>
    <row r="11" spans="2:12" ht="11.25">
      <c r="B11" s="76" t="s">
        <v>47</v>
      </c>
      <c r="C11" s="272">
        <v>2520.1412598499996</v>
      </c>
      <c r="D11" s="134">
        <v>2737.53922176</v>
      </c>
      <c r="E11" s="134">
        <v>2798.83484712</v>
      </c>
      <c r="F11" s="273">
        <v>61.29562536000003</v>
      </c>
      <c r="G11" s="137">
        <v>278.69358727000053</v>
      </c>
      <c r="H11" s="134">
        <v>2.23907752162149</v>
      </c>
      <c r="I11" s="134">
        <v>5.76423183716388</v>
      </c>
      <c r="J11" s="134">
        <v>6.604838821468362</v>
      </c>
      <c r="K11" s="134">
        <v>11.058649438031454</v>
      </c>
      <c r="L11" s="278">
        <v>11.058649438031454</v>
      </c>
    </row>
    <row r="12" spans="2:12" ht="11.25">
      <c r="B12" s="76" t="s">
        <v>134</v>
      </c>
      <c r="C12" s="272">
        <v>78.23304601000001</v>
      </c>
      <c r="D12" s="134">
        <v>85.11741223</v>
      </c>
      <c r="E12" s="134">
        <v>70.72793197000001</v>
      </c>
      <c r="F12" s="273">
        <v>-14.389480259999985</v>
      </c>
      <c r="G12" s="137">
        <v>-7.505114039999995</v>
      </c>
      <c r="H12" s="134">
        <v>-16.905448465840873</v>
      </c>
      <c r="I12" s="134">
        <v>4.913503034832378</v>
      </c>
      <c r="J12" s="134">
        <v>-4.7705638742564505</v>
      </c>
      <c r="K12" s="134">
        <v>-9.59327857315011</v>
      </c>
      <c r="L12" s="278">
        <v>-9.59327857315011</v>
      </c>
    </row>
    <row r="13" spans="2:12" ht="11.25">
      <c r="B13" s="76" t="s">
        <v>136</v>
      </c>
      <c r="C13" s="272">
        <v>524.13633568</v>
      </c>
      <c r="D13" s="134">
        <v>512.88448068</v>
      </c>
      <c r="E13" s="134">
        <v>414.83191901</v>
      </c>
      <c r="F13" s="273">
        <v>-98.05256167000005</v>
      </c>
      <c r="G13" s="137">
        <v>-109.30441667000002</v>
      </c>
      <c r="H13" s="134">
        <v>-19.117864814314242</v>
      </c>
      <c r="I13" s="134">
        <v>-23.82733770670361</v>
      </c>
      <c r="J13" s="134">
        <v>-6.180971061178841</v>
      </c>
      <c r="K13" s="134">
        <v>-20.85419560317098</v>
      </c>
      <c r="L13" s="278">
        <v>-20.85419560317098</v>
      </c>
    </row>
    <row r="14" spans="2:12" ht="11.25">
      <c r="B14" s="76" t="s">
        <v>137</v>
      </c>
      <c r="C14" s="272">
        <v>11691.20542326</v>
      </c>
      <c r="D14" s="134">
        <v>13422.828510360001</v>
      </c>
      <c r="E14" s="134">
        <v>13041.819337406861</v>
      </c>
      <c r="F14" s="273">
        <v>-381.00917295313957</v>
      </c>
      <c r="G14" s="137">
        <v>1350.6139141468611</v>
      </c>
      <c r="H14" s="134">
        <v>-2.8385162833531643</v>
      </c>
      <c r="I14" s="134">
        <v>17.978843686100788</v>
      </c>
      <c r="J14" s="134">
        <v>18.767621912440013</v>
      </c>
      <c r="K14" s="134">
        <v>11.552392291899816</v>
      </c>
      <c r="L14" s="278">
        <v>11.552392291899816</v>
      </c>
    </row>
    <row r="15" spans="2:14" ht="11.25">
      <c r="B15" s="76" t="s">
        <v>48</v>
      </c>
      <c r="C15" s="272">
        <v>21919.520000750006</v>
      </c>
      <c r="D15" s="134">
        <v>23411.171666050006</v>
      </c>
      <c r="E15" s="134">
        <v>23383.99920559</v>
      </c>
      <c r="F15" s="273">
        <v>-27.172460460005823</v>
      </c>
      <c r="G15" s="137">
        <v>1464.479204839994</v>
      </c>
      <c r="H15" s="134">
        <v>-0.11606621337713864</v>
      </c>
      <c r="I15" s="134">
        <v>5.886058519839588</v>
      </c>
      <c r="J15" s="134">
        <v>5.949900480080905</v>
      </c>
      <c r="K15" s="134">
        <v>6.681164572900711</v>
      </c>
      <c r="L15" s="278">
        <v>6.681164572900711</v>
      </c>
      <c r="M15" s="51"/>
      <c r="N15" s="54"/>
    </row>
    <row r="16" spans="2:14" ht="11.25">
      <c r="B16" s="76" t="s">
        <v>132</v>
      </c>
      <c r="C16" s="272">
        <v>4.853</v>
      </c>
      <c r="D16" s="134">
        <v>2.375</v>
      </c>
      <c r="E16" s="134">
        <v>2.375</v>
      </c>
      <c r="F16" s="272">
        <v>0</v>
      </c>
      <c r="G16" s="137">
        <v>-2.4779999999999998</v>
      </c>
      <c r="H16" s="134">
        <v>0</v>
      </c>
      <c r="I16" s="134">
        <v>-51.06119925819081</v>
      </c>
      <c r="J16" s="134">
        <v>-51.06119925819081</v>
      </c>
      <c r="K16" s="134">
        <v>-51.06119925819081</v>
      </c>
      <c r="L16" s="278">
        <v>-51.06119925819081</v>
      </c>
      <c r="M16" s="51"/>
      <c r="N16" s="54"/>
    </row>
    <row r="17" spans="2:12" ht="11.25">
      <c r="B17" s="73" t="s">
        <v>42</v>
      </c>
      <c r="C17" s="272">
        <v>-15947.892954701016</v>
      </c>
      <c r="D17" s="133">
        <v>-20283.683882740745</v>
      </c>
      <c r="E17" s="133">
        <v>-20268.154871100553</v>
      </c>
      <c r="F17" s="273">
        <v>15.529011640192039</v>
      </c>
      <c r="G17" s="141">
        <v>-4320.261916399537</v>
      </c>
      <c r="H17" s="133">
        <v>-0.07655912865712512</v>
      </c>
      <c r="I17" s="133">
        <v>22.965065979930355</v>
      </c>
      <c r="J17" s="133">
        <v>21.15406868238272</v>
      </c>
      <c r="K17" s="133">
        <v>27.20640094281115</v>
      </c>
      <c r="L17" s="277">
        <v>27.20640094281115</v>
      </c>
    </row>
    <row r="18" spans="2:12" ht="12" thickBot="1">
      <c r="B18" s="77" t="s">
        <v>49</v>
      </c>
      <c r="C18" s="40">
        <v>29433.04793452543</v>
      </c>
      <c r="D18" s="136">
        <v>31995.26358281779</v>
      </c>
      <c r="E18" s="136">
        <v>31742.698952180006</v>
      </c>
      <c r="F18" s="274">
        <v>-252.56463063778574</v>
      </c>
      <c r="G18" s="140">
        <v>2309.6510176545744</v>
      </c>
      <c r="H18" s="136">
        <v>-0.7893813094680017</v>
      </c>
      <c r="I18" s="136">
        <v>5.925217492896051</v>
      </c>
      <c r="J18" s="136">
        <v>6.6364361142849715</v>
      </c>
      <c r="K18" s="136">
        <v>7.793790404529566</v>
      </c>
      <c r="L18" s="279">
        <v>7.793790404529566</v>
      </c>
    </row>
    <row r="19" spans="2:13" ht="11.25">
      <c r="B19" s="129"/>
      <c r="C19" s="34"/>
      <c r="D19" s="34"/>
      <c r="E19" s="34"/>
      <c r="F19" s="34"/>
      <c r="G19" s="34"/>
      <c r="H19" s="34"/>
      <c r="I19" s="34"/>
      <c r="J19" s="34"/>
      <c r="K19" s="34"/>
      <c r="M19" s="51"/>
    </row>
    <row r="20" spans="2:13" ht="11.25">
      <c r="B20" s="97"/>
      <c r="C20" s="34"/>
      <c r="D20" s="34"/>
      <c r="E20" s="34"/>
      <c r="F20" s="34"/>
      <c r="G20" s="34"/>
      <c r="H20" s="34"/>
      <c r="I20" s="34"/>
      <c r="J20" s="34"/>
      <c r="K20" s="34"/>
      <c r="M20" s="51"/>
    </row>
    <row r="21" spans="2:13" ht="11.25">
      <c r="B21" s="97"/>
      <c r="C21" s="34"/>
      <c r="D21" s="34"/>
      <c r="E21" s="34"/>
      <c r="F21" s="34"/>
      <c r="G21" s="34"/>
      <c r="H21" s="34"/>
      <c r="I21" s="34"/>
      <c r="J21" s="34"/>
      <c r="K21" s="34"/>
      <c r="M21" s="51"/>
    </row>
    <row r="22" spans="2:12" ht="11.25">
      <c r="B22" s="292" t="s">
        <v>75</v>
      </c>
      <c r="C22" s="292"/>
      <c r="D22" s="292"/>
      <c r="E22" s="292"/>
      <c r="F22" s="292"/>
      <c r="G22" s="292"/>
      <c r="H22" s="292"/>
      <c r="I22" s="292"/>
      <c r="J22" s="292"/>
      <c r="K22" s="292"/>
      <c r="L22" s="201"/>
    </row>
    <row r="23" spans="2:12" ht="11.25">
      <c r="B23" s="293" t="s">
        <v>115</v>
      </c>
      <c r="C23" s="294"/>
      <c r="D23" s="294"/>
      <c r="E23" s="294"/>
      <c r="F23" s="294"/>
      <c r="G23" s="294"/>
      <c r="H23" s="294"/>
      <c r="I23" s="294"/>
      <c r="J23" s="294"/>
      <c r="K23" s="294"/>
      <c r="L23" s="204"/>
    </row>
    <row r="24" spans="2:12" ht="11.25">
      <c r="B24" s="70"/>
      <c r="C24" s="22"/>
      <c r="D24" s="22"/>
      <c r="E24" s="22"/>
      <c r="F24" s="298" t="s">
        <v>107</v>
      </c>
      <c r="G24" s="299"/>
      <c r="H24" s="128" t="s">
        <v>125</v>
      </c>
      <c r="I24" s="298" t="s">
        <v>161</v>
      </c>
      <c r="J24" s="300"/>
      <c r="K24" s="301"/>
      <c r="L24" s="203" t="s">
        <v>162</v>
      </c>
    </row>
    <row r="25" spans="2:12" ht="11.25">
      <c r="B25" s="71"/>
      <c r="C25" s="12">
        <f>C5</f>
        <v>39845</v>
      </c>
      <c r="D25" s="12">
        <f>D5</f>
        <v>40205</v>
      </c>
      <c r="E25" s="12">
        <f>E5</f>
        <v>40235</v>
      </c>
      <c r="F25" s="12" t="s">
        <v>110</v>
      </c>
      <c r="G25" s="59" t="s">
        <v>109</v>
      </c>
      <c r="H25" s="59" t="s">
        <v>128</v>
      </c>
      <c r="I25" s="12">
        <v>40148</v>
      </c>
      <c r="J25" s="12">
        <v>40179</v>
      </c>
      <c r="K25" s="12">
        <v>40210</v>
      </c>
      <c r="L25" s="12">
        <v>40210</v>
      </c>
    </row>
    <row r="26" spans="2:12" ht="11.25">
      <c r="B26" s="79"/>
      <c r="C26" s="35"/>
      <c r="D26" s="35"/>
      <c r="E26" s="35"/>
      <c r="F26" s="35"/>
      <c r="G26" s="35"/>
      <c r="H26" s="35"/>
      <c r="I26" s="35"/>
      <c r="J26" s="35"/>
      <c r="K26" s="35"/>
      <c r="L26" s="280"/>
    </row>
    <row r="27" spans="2:12" ht="11.25">
      <c r="B27" s="73" t="s">
        <v>49</v>
      </c>
      <c r="C27" s="38">
        <v>29447.637637372995</v>
      </c>
      <c r="D27" s="38">
        <v>31995.317813722024</v>
      </c>
      <c r="E27" s="38">
        <v>31742.724793915208</v>
      </c>
      <c r="F27" s="38">
        <v>-252.5930198068163</v>
      </c>
      <c r="G27" s="38">
        <v>2295.087156542213</v>
      </c>
      <c r="H27" s="38">
        <v>-0.7894687006312068</v>
      </c>
      <c r="I27" s="38">
        <v>5.925217492896051</v>
      </c>
      <c r="J27" s="38">
        <v>6.6364361142849715</v>
      </c>
      <c r="K27" s="38">
        <f>('[2]DCS'!CS22/'[2]DCS'!CG22-1)*100</f>
        <v>-6.6848048059795495</v>
      </c>
      <c r="L27" s="281">
        <v>7.793790404529566</v>
      </c>
    </row>
    <row r="28" spans="2:12" ht="11.25">
      <c r="B28" s="75" t="s">
        <v>50</v>
      </c>
      <c r="C28" s="272">
        <v>1234.811379884782</v>
      </c>
      <c r="D28" s="272">
        <v>1127.588478886819</v>
      </c>
      <c r="E28" s="272">
        <v>1117.61768683</v>
      </c>
      <c r="F28" s="272">
        <v>-9.970792056819164</v>
      </c>
      <c r="G28" s="272">
        <v>-117.19369305478199</v>
      </c>
      <c r="H28" s="272">
        <v>-0.8842580643128383</v>
      </c>
      <c r="I28" s="272">
        <v>1.4244346209796754</v>
      </c>
      <c r="J28" s="272">
        <v>-7.393703221820392</v>
      </c>
      <c r="K28" s="272">
        <f>('[2]DCS'!CS23/'[2]DCS'!CG23-1)*100</f>
        <v>114.52985118145729</v>
      </c>
      <c r="L28" s="282">
        <v>-9.490817380199168</v>
      </c>
    </row>
    <row r="29" spans="2:12" ht="11.25">
      <c r="B29" s="75" t="s">
        <v>51</v>
      </c>
      <c r="C29" s="272">
        <v>17792.768967112755</v>
      </c>
      <c r="D29" s="272">
        <v>21059.816414785204</v>
      </c>
      <c r="E29" s="272">
        <v>21012.00418533521</v>
      </c>
      <c r="F29" s="272">
        <v>-47.81222944999536</v>
      </c>
      <c r="G29" s="272">
        <v>3219.235218222453</v>
      </c>
      <c r="H29" s="272">
        <v>-0.22703060894884355</v>
      </c>
      <c r="I29" s="272">
        <v>13.234804687318814</v>
      </c>
      <c r="J29" s="272">
        <v>17.93679321372892</v>
      </c>
      <c r="K29" s="272">
        <f>('[2]DCS'!CS24/'[2]DCS'!CG24-1)*100</f>
        <v>17.166260420228596</v>
      </c>
      <c r="L29" s="282">
        <v>18.092941150265716</v>
      </c>
    </row>
    <row r="30" spans="2:12" ht="11.25">
      <c r="B30" s="75" t="s">
        <v>52</v>
      </c>
      <c r="C30" s="272">
        <v>10416.13238928</v>
      </c>
      <c r="D30" s="272">
        <v>9803.98292005</v>
      </c>
      <c r="E30" s="272">
        <v>9609.17292175</v>
      </c>
      <c r="F30" s="272">
        <v>-194.8099983000011</v>
      </c>
      <c r="G30" s="272">
        <v>-806.9594675299995</v>
      </c>
      <c r="H30" s="272">
        <v>-1.9870495480117336</v>
      </c>
      <c r="I30" s="272">
        <v>-5.612747070461877</v>
      </c>
      <c r="J30" s="272">
        <v>-10.267026446265104</v>
      </c>
      <c r="K30" s="272">
        <f>('[2]DCS'!CS32/'[2]DCS'!CG32-1)*100</f>
        <v>-10.414557411287163</v>
      </c>
      <c r="L30" s="282">
        <v>-7.747208247472937</v>
      </c>
    </row>
    <row r="31" spans="2:12" ht="12" thickBot="1">
      <c r="B31" s="80" t="s">
        <v>105</v>
      </c>
      <c r="C31" s="272">
        <v>3.924901095460822</v>
      </c>
      <c r="D31" s="272">
        <v>3.93</v>
      </c>
      <c r="E31" s="272">
        <v>3.93</v>
      </c>
      <c r="F31" s="272">
        <v>0</v>
      </c>
      <c r="G31" s="272">
        <v>0.005098904539178051</v>
      </c>
      <c r="H31" s="272">
        <v>0</v>
      </c>
      <c r="I31" s="272">
        <v>0.9388507475641239</v>
      </c>
      <c r="J31" s="272">
        <v>0.7444774801506293</v>
      </c>
      <c r="K31" s="272">
        <f>('[2]DCS'!CS39/'[2]DCS'!CG39-1)*100</f>
        <v>0.12991166949594124</v>
      </c>
      <c r="L31" s="283">
        <v>0.12991166949594124</v>
      </c>
    </row>
    <row r="32" spans="2:11" ht="11.25">
      <c r="B32" s="42"/>
      <c r="C32" s="60"/>
      <c r="D32" s="60"/>
      <c r="E32" s="60"/>
      <c r="F32" s="60"/>
      <c r="G32" s="60"/>
      <c r="H32" s="60"/>
      <c r="I32" s="60"/>
      <c r="J32" s="60"/>
      <c r="K32" s="60"/>
    </row>
    <row r="33" spans="2:11" ht="11.25">
      <c r="B33" s="42"/>
      <c r="C33" s="23"/>
      <c r="D33" s="23"/>
      <c r="E33" s="23"/>
      <c r="F33" s="23"/>
      <c r="G33" s="23"/>
      <c r="H33" s="23"/>
      <c r="I33" s="23"/>
      <c r="J33" s="23"/>
      <c r="K33" s="23"/>
    </row>
    <row r="34" spans="2:11" ht="11.25">
      <c r="B34" s="97"/>
      <c r="C34" s="34"/>
      <c r="D34" s="34"/>
      <c r="E34" s="34"/>
      <c r="F34" s="34"/>
      <c r="G34" s="34"/>
      <c r="H34" s="34"/>
      <c r="I34" s="34"/>
      <c r="J34" s="34"/>
      <c r="K34" s="34"/>
    </row>
    <row r="35" spans="2:12" ht="11.25">
      <c r="B35" s="291" t="s">
        <v>75</v>
      </c>
      <c r="C35" s="292"/>
      <c r="D35" s="292"/>
      <c r="E35" s="292"/>
      <c r="F35" s="292"/>
      <c r="G35" s="292"/>
      <c r="H35" s="292"/>
      <c r="I35" s="292"/>
      <c r="J35" s="292"/>
      <c r="K35" s="292"/>
      <c r="L35" s="201"/>
    </row>
    <row r="36" spans="2:12" ht="11.25">
      <c r="B36" s="293" t="s">
        <v>169</v>
      </c>
      <c r="C36" s="294"/>
      <c r="D36" s="294"/>
      <c r="E36" s="294"/>
      <c r="F36" s="294"/>
      <c r="G36" s="294"/>
      <c r="H36" s="294"/>
      <c r="I36" s="294"/>
      <c r="J36" s="294"/>
      <c r="K36" s="294"/>
      <c r="L36" s="204"/>
    </row>
    <row r="37" spans="2:12" ht="11.25">
      <c r="B37" s="70"/>
      <c r="C37" s="22"/>
      <c r="D37" s="22"/>
      <c r="E37" s="22"/>
      <c r="F37" s="298" t="s">
        <v>107</v>
      </c>
      <c r="G37" s="299"/>
      <c r="H37" s="128" t="s">
        <v>126</v>
      </c>
      <c r="I37" s="298" t="s">
        <v>161</v>
      </c>
      <c r="J37" s="300"/>
      <c r="K37" s="301"/>
      <c r="L37" s="202" t="s">
        <v>162</v>
      </c>
    </row>
    <row r="38" spans="2:12" ht="11.25">
      <c r="B38" s="71"/>
      <c r="C38" s="12">
        <f>C25</f>
        <v>39845</v>
      </c>
      <c r="D38" s="12">
        <f>D25</f>
        <v>40205</v>
      </c>
      <c r="E38" s="12">
        <f>E25</f>
        <v>40235</v>
      </c>
      <c r="F38" s="12" t="s">
        <v>110</v>
      </c>
      <c r="G38" s="59" t="s">
        <v>109</v>
      </c>
      <c r="H38" s="59" t="s">
        <v>128</v>
      </c>
      <c r="I38" s="12">
        <v>40148</v>
      </c>
      <c r="J38" s="12">
        <v>40179</v>
      </c>
      <c r="K38" s="12">
        <v>40210</v>
      </c>
      <c r="L38" s="12">
        <v>40210</v>
      </c>
    </row>
    <row r="39" spans="2:12" ht="11.25">
      <c r="B39" s="81"/>
      <c r="C39" s="36"/>
      <c r="D39" s="86"/>
      <c r="E39" s="86"/>
      <c r="F39" s="36"/>
      <c r="G39" s="37"/>
      <c r="H39" s="37"/>
      <c r="I39" s="37"/>
      <c r="J39" s="37"/>
      <c r="K39" s="37"/>
      <c r="L39" s="284"/>
    </row>
    <row r="40" spans="2:12" ht="11.25">
      <c r="B40" s="82" t="s">
        <v>138</v>
      </c>
      <c r="C40" s="150">
        <v>33512.85798901001</v>
      </c>
      <c r="D40" s="150">
        <v>36835.4654667</v>
      </c>
      <c r="E40" s="150">
        <v>36436.67501130686</v>
      </c>
      <c r="F40" s="150">
        <v>-398.79045539313665</v>
      </c>
      <c r="G40" s="150">
        <v>2923.8170222968547</v>
      </c>
      <c r="H40" s="150">
        <v>-1.0826263502863869</v>
      </c>
      <c r="I40" s="150">
        <v>10.08353367226107</v>
      </c>
      <c r="J40" s="150">
        <v>10.60943796911491</v>
      </c>
      <c r="K40" s="150">
        <v>8.724463378371583</v>
      </c>
      <c r="L40" s="285">
        <v>8.724463378371583</v>
      </c>
    </row>
    <row r="41" spans="2:12" ht="11.25">
      <c r="B41" s="186" t="s">
        <v>47</v>
      </c>
      <c r="C41" s="187">
        <v>383.32919988</v>
      </c>
      <c r="D41" s="187">
        <v>623.98888272</v>
      </c>
      <c r="E41" s="187">
        <v>703.03774393</v>
      </c>
      <c r="F41" s="187">
        <v>79.04886121000004</v>
      </c>
      <c r="G41" s="187">
        <v>319.70854405000006</v>
      </c>
      <c r="H41" s="187">
        <v>12.668312432975078</v>
      </c>
      <c r="I41" s="187">
        <v>10.08353367226107</v>
      </c>
      <c r="J41" s="187">
        <v>10.60943796911491</v>
      </c>
      <c r="K41" s="187">
        <v>8.724463378371583</v>
      </c>
      <c r="L41" s="286">
        <v>8.724463378371583</v>
      </c>
    </row>
    <row r="42" spans="2:12" ht="11.25">
      <c r="B42" s="83" t="s">
        <v>139</v>
      </c>
      <c r="C42" s="166">
        <v>11656.54254129</v>
      </c>
      <c r="D42" s="166">
        <v>13388.77120411</v>
      </c>
      <c r="E42" s="166">
        <v>13013.463031156862</v>
      </c>
      <c r="F42" s="166">
        <v>-375.30817295313864</v>
      </c>
      <c r="G42" s="166">
        <v>1356.9204898668613</v>
      </c>
      <c r="H42" s="166">
        <v>-2.803156221221623</v>
      </c>
      <c r="I42" s="166">
        <v>17.353919667802487</v>
      </c>
      <c r="J42" s="166">
        <v>18.798190724033013</v>
      </c>
      <c r="K42" s="166">
        <v>11.640848777073941</v>
      </c>
      <c r="L42" s="287">
        <v>11.640848777073941</v>
      </c>
    </row>
    <row r="43" spans="2:12" ht="11.25">
      <c r="B43" s="84" t="s">
        <v>82</v>
      </c>
      <c r="C43" s="152">
        <v>8784.68512443</v>
      </c>
      <c r="D43" s="152">
        <v>10352.37399587</v>
      </c>
      <c r="E43" s="152">
        <v>9931.676497046861</v>
      </c>
      <c r="F43" s="151">
        <v>-420.69749882313954</v>
      </c>
      <c r="G43" s="151">
        <v>1146.9913726168616</v>
      </c>
      <c r="H43" s="151">
        <v>-4.063778018365387</v>
      </c>
      <c r="I43" s="151">
        <v>20.35479669749398</v>
      </c>
      <c r="J43" s="151">
        <v>22.409472980587818</v>
      </c>
      <c r="K43" s="151">
        <v>13.056715822711794</v>
      </c>
      <c r="L43" s="286">
        <v>13.056715822711794</v>
      </c>
    </row>
    <row r="44" spans="2:12" ht="11.25">
      <c r="B44" s="85" t="s">
        <v>83</v>
      </c>
      <c r="C44" s="153">
        <v>2687.97403911</v>
      </c>
      <c r="D44" s="153">
        <v>3077.2967544600006</v>
      </c>
      <c r="E44" s="153">
        <v>3154.00697654686</v>
      </c>
      <c r="F44" s="151">
        <v>76.71022208685963</v>
      </c>
      <c r="G44" s="151">
        <v>466.03293743686027</v>
      </c>
      <c r="H44" s="151">
        <v>2.4927794817214703</v>
      </c>
      <c r="I44" s="151">
        <v>18.991309423796142</v>
      </c>
      <c r="J44" s="151">
        <v>19.972639168481376</v>
      </c>
      <c r="K44" s="151">
        <v>17.337702323611936</v>
      </c>
      <c r="L44" s="286">
        <v>17.337702323611936</v>
      </c>
    </row>
    <row r="45" spans="2:12" ht="11.25">
      <c r="B45" s="85" t="s">
        <v>84</v>
      </c>
      <c r="C45" s="153">
        <v>1816.51476735</v>
      </c>
      <c r="D45" s="153">
        <v>2049.5159498099997</v>
      </c>
      <c r="E45" s="153">
        <v>2051.31138823</v>
      </c>
      <c r="F45" s="151">
        <v>1.7954384200002096</v>
      </c>
      <c r="G45" s="151">
        <v>234.79662087999986</v>
      </c>
      <c r="H45" s="151">
        <v>0.08760304696173044</v>
      </c>
      <c r="I45" s="151">
        <v>19.163313597062736</v>
      </c>
      <c r="J45" s="151">
        <v>22.320547199578854</v>
      </c>
      <c r="K45" s="151">
        <v>12.925665406096854</v>
      </c>
      <c r="L45" s="286">
        <v>12.925665406096854</v>
      </c>
    </row>
    <row r="46" spans="2:12" ht="11.25">
      <c r="B46" s="85" t="s">
        <v>85</v>
      </c>
      <c r="C46" s="153">
        <v>4280.196317970001</v>
      </c>
      <c r="D46" s="153">
        <v>5225.5612916</v>
      </c>
      <c r="E46" s="153">
        <v>4726.358132270001</v>
      </c>
      <c r="F46" s="151">
        <v>-499.2031593299989</v>
      </c>
      <c r="G46" s="151">
        <v>446.1618143000005</v>
      </c>
      <c r="H46" s="151">
        <v>-9.553101216752722</v>
      </c>
      <c r="I46" s="151">
        <v>21.654638839122462</v>
      </c>
      <c r="J46" s="151">
        <v>23.92714435167833</v>
      </c>
      <c r="K46" s="151">
        <v>10.42386332670846</v>
      </c>
      <c r="L46" s="286">
        <v>10.42386332670846</v>
      </c>
    </row>
    <row r="47" spans="2:12" ht="11.25">
      <c r="B47" s="84" t="s">
        <v>86</v>
      </c>
      <c r="C47" s="153">
        <v>1879.09536391</v>
      </c>
      <c r="D47" s="153">
        <v>1969.786368</v>
      </c>
      <c r="E47" s="153">
        <v>2006.76190418</v>
      </c>
      <c r="F47" s="151">
        <v>36.97553618000006</v>
      </c>
      <c r="G47" s="151">
        <v>127.66654027000004</v>
      </c>
      <c r="H47" s="151">
        <v>1.877134331960209</v>
      </c>
      <c r="I47" s="151">
        <v>9.878574826232335</v>
      </c>
      <c r="J47" s="151">
        <v>8.749099658983495</v>
      </c>
      <c r="K47" s="151">
        <v>6.794042639983577</v>
      </c>
      <c r="L47" s="286">
        <v>6.794042639983577</v>
      </c>
    </row>
    <row r="48" spans="2:12" ht="11.25">
      <c r="B48" s="84" t="s">
        <v>87</v>
      </c>
      <c r="C48" s="153">
        <v>63.20111169</v>
      </c>
      <c r="D48" s="153">
        <v>67.54914821</v>
      </c>
      <c r="E48" s="153">
        <v>67.908</v>
      </c>
      <c r="F48" s="151">
        <v>0.3588517900000028</v>
      </c>
      <c r="G48" s="151">
        <v>4.706888310000004</v>
      </c>
      <c r="H48" s="151">
        <v>0.5312454701640165</v>
      </c>
      <c r="I48" s="151">
        <v>10.864822431360665</v>
      </c>
      <c r="J48" s="151">
        <v>2.329616866719242</v>
      </c>
      <c r="K48" s="151">
        <v>7.447477084085463</v>
      </c>
      <c r="L48" s="286">
        <v>7.447477084085463</v>
      </c>
    </row>
    <row r="49" spans="2:12" ht="11.25">
      <c r="B49" s="84" t="s">
        <v>88</v>
      </c>
      <c r="C49" s="153">
        <v>929.5609412599999</v>
      </c>
      <c r="D49" s="153">
        <v>999.06169203</v>
      </c>
      <c r="E49" s="153">
        <v>1007.11662993</v>
      </c>
      <c r="F49" s="151">
        <v>8.054937900000027</v>
      </c>
      <c r="G49" s="151">
        <v>77.55568867000011</v>
      </c>
      <c r="H49" s="151">
        <v>0.8062503010833241</v>
      </c>
      <c r="I49" s="151">
        <v>5.4035610026273995</v>
      </c>
      <c r="J49" s="151">
        <v>6.7727723461815215</v>
      </c>
      <c r="K49" s="151">
        <v>8.343260267032626</v>
      </c>
      <c r="L49" s="286">
        <v>8.343260267032626</v>
      </c>
    </row>
    <row r="50" spans="2:13" ht="11.25">
      <c r="B50" s="83" t="s">
        <v>122</v>
      </c>
      <c r="C50" s="165">
        <v>21774.960447720005</v>
      </c>
      <c r="D50" s="165">
        <v>23341.140262590005</v>
      </c>
      <c r="E50" s="165">
        <v>23316.42198015</v>
      </c>
      <c r="F50" s="166">
        <v>-24.71828244000426</v>
      </c>
      <c r="G50" s="166">
        <v>1541.4615324299957</v>
      </c>
      <c r="H50" s="166">
        <v>-0.10590006384401651</v>
      </c>
      <c r="I50" s="166">
        <v>6.287545660600058</v>
      </c>
      <c r="J50" s="166">
        <v>6.329293574015904</v>
      </c>
      <c r="K50" s="166">
        <v>7.079055487292041</v>
      </c>
      <c r="L50" s="287">
        <v>7.079055487292041</v>
      </c>
      <c r="M50" s="49"/>
    </row>
    <row r="51" spans="2:12" ht="11.25">
      <c r="B51" s="84" t="s">
        <v>89</v>
      </c>
      <c r="C51" s="154">
        <v>17757.846135670003</v>
      </c>
      <c r="D51" s="154">
        <v>19342.851662980003</v>
      </c>
      <c r="E51" s="154">
        <v>19274.39714311</v>
      </c>
      <c r="F51" s="151">
        <v>-68.45451987000342</v>
      </c>
      <c r="G51" s="151">
        <v>1516.5510074399972</v>
      </c>
      <c r="H51" s="151">
        <v>-0.3539008676834219</v>
      </c>
      <c r="I51" s="151">
        <v>8.101623240684908</v>
      </c>
      <c r="J51" s="151">
        <v>7.607905616818744</v>
      </c>
      <c r="K51" s="151">
        <v>8.54017427481657</v>
      </c>
      <c r="L51" s="286">
        <v>8.54017427481657</v>
      </c>
    </row>
    <row r="52" spans="2:12" ht="11.25">
      <c r="B52" s="85" t="s">
        <v>83</v>
      </c>
      <c r="C52" s="153">
        <v>14304.47202692</v>
      </c>
      <c r="D52" s="153">
        <v>15652.651215140002</v>
      </c>
      <c r="E52" s="153">
        <v>15514.26269879</v>
      </c>
      <c r="F52" s="151">
        <v>-138.38851635000174</v>
      </c>
      <c r="G52" s="151">
        <v>1209.7906718699996</v>
      </c>
      <c r="H52" s="151">
        <v>-0.8841218937795386</v>
      </c>
      <c r="I52" s="151">
        <v>7.411662551489018</v>
      </c>
      <c r="J52" s="151">
        <v>7.680001572533834</v>
      </c>
      <c r="K52" s="151">
        <v>7.708064672570747</v>
      </c>
      <c r="L52" s="286">
        <v>7.708064672570747</v>
      </c>
    </row>
    <row r="53" spans="2:12" ht="11.25">
      <c r="B53" s="85" t="s">
        <v>90</v>
      </c>
      <c r="C53" s="153">
        <v>2060.1826501799997</v>
      </c>
      <c r="D53" s="153">
        <v>2414.0490577200003</v>
      </c>
      <c r="E53" s="153">
        <v>2323.66438563</v>
      </c>
      <c r="F53" s="151">
        <v>-90.3846720900001</v>
      </c>
      <c r="G53" s="151">
        <v>263.48173545000054</v>
      </c>
      <c r="H53" s="151">
        <v>-3.744110824962514</v>
      </c>
      <c r="I53" s="151">
        <v>15.154610779398347</v>
      </c>
      <c r="J53" s="151">
        <v>13.48029293001658</v>
      </c>
      <c r="K53" s="151">
        <v>12.789241547441431</v>
      </c>
      <c r="L53" s="286">
        <v>12.789241547441431</v>
      </c>
    </row>
    <row r="54" spans="2:12" ht="11.25">
      <c r="B54" s="85" t="s">
        <v>85</v>
      </c>
      <c r="C54" s="153">
        <v>1293.66992572</v>
      </c>
      <c r="D54" s="153">
        <v>1276.15139012</v>
      </c>
      <c r="E54" s="153">
        <v>1436.47005869</v>
      </c>
      <c r="F54" s="151">
        <v>160.31866857</v>
      </c>
      <c r="G54" s="151">
        <v>142.80013297000005</v>
      </c>
      <c r="H54" s="151">
        <v>12.562668489897957</v>
      </c>
      <c r="I54" s="151">
        <v>4.135412041176156</v>
      </c>
      <c r="J54" s="151">
        <v>-2.714318753207823</v>
      </c>
      <c r="K54" s="151">
        <v>11.038374637218507</v>
      </c>
      <c r="L54" s="286">
        <v>11.038374637218507</v>
      </c>
    </row>
    <row r="55" spans="2:12" ht="11.25">
      <c r="B55" s="84" t="s">
        <v>86</v>
      </c>
      <c r="C55" s="153">
        <v>3282.85424212</v>
      </c>
      <c r="D55" s="153">
        <v>3283.77008357</v>
      </c>
      <c r="E55" s="153">
        <v>3316.4027344000006</v>
      </c>
      <c r="F55" s="151">
        <v>32.63265083000033</v>
      </c>
      <c r="G55" s="151">
        <v>33.54849228000057</v>
      </c>
      <c r="H55" s="151">
        <v>0.9937556527868495</v>
      </c>
      <c r="I55" s="151">
        <v>-1.122653269399021</v>
      </c>
      <c r="J55" s="151">
        <v>-0.34244423358981146</v>
      </c>
      <c r="K55" s="151">
        <v>1.0219306068957712</v>
      </c>
      <c r="L55" s="286">
        <v>1.0219306068957712</v>
      </c>
    </row>
    <row r="56" spans="2:12" ht="11.25">
      <c r="B56" s="84" t="s">
        <v>87</v>
      </c>
      <c r="C56" s="153">
        <v>92.95875401</v>
      </c>
      <c r="D56" s="153">
        <v>89.02558540000001</v>
      </c>
      <c r="E56" s="153">
        <v>84.83033542999999</v>
      </c>
      <c r="F56" s="151">
        <v>-4.19524997000002</v>
      </c>
      <c r="G56" s="151">
        <v>-8.128418580000016</v>
      </c>
      <c r="H56" s="151">
        <v>-4.7124093047525415</v>
      </c>
      <c r="I56" s="151">
        <v>-10.39755461011177</v>
      </c>
      <c r="J56" s="151">
        <v>-5.053453862344615</v>
      </c>
      <c r="K56" s="151">
        <v>-8.744113092485728</v>
      </c>
      <c r="L56" s="286">
        <v>-8.744113092485728</v>
      </c>
    </row>
    <row r="57" spans="2:12" ht="11.25">
      <c r="B57" s="84" t="s">
        <v>88</v>
      </c>
      <c r="C57" s="153">
        <v>641.30131592</v>
      </c>
      <c r="D57" s="153">
        <v>625.4929306400002</v>
      </c>
      <c r="E57" s="153">
        <v>640.79176721</v>
      </c>
      <c r="F57" s="151">
        <v>15.298836569999821</v>
      </c>
      <c r="G57" s="151">
        <v>-0.50954870999999</v>
      </c>
      <c r="H57" s="151">
        <v>2.445884808697383</v>
      </c>
      <c r="I57" s="151">
        <v>-3.116251404221937</v>
      </c>
      <c r="J57" s="151">
        <v>6.444301563049226</v>
      </c>
      <c r="K57" s="151">
        <v>-0.07945542872760392</v>
      </c>
      <c r="L57" s="286">
        <v>-0.07945542872760392</v>
      </c>
    </row>
    <row r="58" spans="2:12" ht="12" thickBot="1">
      <c r="B58" s="275" t="s">
        <v>91</v>
      </c>
      <c r="C58" s="167">
        <v>81.355</v>
      </c>
      <c r="D58" s="167">
        <v>105.554</v>
      </c>
      <c r="E58" s="192">
        <v>106.79</v>
      </c>
      <c r="F58" s="167">
        <v>1.2360000000000042</v>
      </c>
      <c r="G58" s="167">
        <v>25.435000000000002</v>
      </c>
      <c r="H58" s="167">
        <v>1.1709646247418424</v>
      </c>
      <c r="I58" s="167">
        <v>29.115436308427455</v>
      </c>
      <c r="J58" s="167">
        <v>31.36776602364655</v>
      </c>
      <c r="K58" s="167">
        <v>31.264212402433778</v>
      </c>
      <c r="L58" s="288">
        <v>31.264212402433778</v>
      </c>
    </row>
    <row r="59" ht="11.25">
      <c r="B59" s="55" t="s">
        <v>121</v>
      </c>
    </row>
    <row r="62" spans="2:11" ht="12">
      <c r="B62" s="302"/>
      <c r="C62" s="302"/>
      <c r="D62" s="302"/>
      <c r="E62" s="302"/>
      <c r="F62" s="302"/>
      <c r="G62" s="302"/>
      <c r="H62" s="302"/>
      <c r="I62" s="302"/>
      <c r="J62" s="302"/>
      <c r="K62" s="302"/>
    </row>
  </sheetData>
  <sheetProtection/>
  <mergeCells count="13">
    <mergeCell ref="F24:G24"/>
    <mergeCell ref="I24:K24"/>
    <mergeCell ref="B62:K62"/>
    <mergeCell ref="B36:K36"/>
    <mergeCell ref="I37:K37"/>
    <mergeCell ref="F37:G37"/>
    <mergeCell ref="B35:K35"/>
    <mergeCell ref="B2:K2"/>
    <mergeCell ref="B22:K22"/>
    <mergeCell ref="B23:K23"/>
    <mergeCell ref="B3:K3"/>
    <mergeCell ref="I4:K4"/>
    <mergeCell ref="F4:G4"/>
  </mergeCells>
  <printOptions/>
  <pageMargins left="0.75" right="0.75" top="1" bottom="1" header="0.5" footer="0.5"/>
  <pageSetup fitToHeight="1" fitToWidth="1" horizontalDpi="600" verticalDpi="600" orientation="portrait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2:X37"/>
  <sheetViews>
    <sheetView showGridLines="0" zoomScale="80" zoomScaleNormal="80" workbookViewId="0" topLeftCell="A25">
      <selection activeCell="G75" sqref="G75"/>
    </sheetView>
  </sheetViews>
  <sheetFormatPr defaultColWidth="9.140625" defaultRowHeight="12"/>
  <cols>
    <col min="1" max="16384" width="9.28125" style="1" customWidth="1"/>
  </cols>
  <sheetData>
    <row r="2" spans="1:14" ht="15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</row>
    <row r="3" spans="1:14" ht="15">
      <c r="A3" s="64"/>
      <c r="N3" s="64"/>
    </row>
    <row r="4" spans="1:17" ht="15">
      <c r="A4" s="184"/>
      <c r="N4" s="184"/>
      <c r="O4" s="185"/>
      <c r="P4" s="185"/>
      <c r="Q4" s="185"/>
    </row>
    <row r="5" spans="1:17" ht="15.75">
      <c r="A5" s="184"/>
      <c r="B5" s="94"/>
      <c r="C5" s="95"/>
      <c r="D5" s="95"/>
      <c r="E5" s="95"/>
      <c r="F5" s="95"/>
      <c r="G5" s="95"/>
      <c r="H5" s="95"/>
      <c r="I5" s="95"/>
      <c r="J5" s="95"/>
      <c r="K5" s="95"/>
      <c r="L5" s="96"/>
      <c r="M5" s="96"/>
      <c r="N5" s="184"/>
      <c r="O5" s="185"/>
      <c r="P5" s="185"/>
      <c r="Q5" s="185"/>
    </row>
    <row r="6" spans="1:17" ht="15">
      <c r="A6" s="184"/>
      <c r="B6" s="184"/>
      <c r="C6" s="184"/>
      <c r="D6" s="184"/>
      <c r="E6" s="184"/>
      <c r="F6" s="184"/>
      <c r="G6" s="184"/>
      <c r="H6" s="184"/>
      <c r="I6" s="184"/>
      <c r="J6" s="184"/>
      <c r="K6" s="184"/>
      <c r="L6" s="184"/>
      <c r="M6" s="184"/>
      <c r="N6" s="184"/>
      <c r="O6" s="185"/>
      <c r="P6" s="185"/>
      <c r="Q6" s="185"/>
    </row>
    <row r="7" spans="1:17" ht="15">
      <c r="A7" s="184"/>
      <c r="B7" s="184"/>
      <c r="C7" s="184"/>
      <c r="D7" s="184"/>
      <c r="E7" s="184"/>
      <c r="F7" s="184"/>
      <c r="G7" s="184"/>
      <c r="H7" s="184"/>
      <c r="I7" s="184"/>
      <c r="J7" s="184"/>
      <c r="K7" s="184"/>
      <c r="L7" s="184"/>
      <c r="M7" s="184"/>
      <c r="N7" s="184"/>
      <c r="O7" s="185"/>
      <c r="P7" s="185"/>
      <c r="Q7" s="185"/>
    </row>
    <row r="8" spans="1:17" ht="15.75">
      <c r="A8" s="184"/>
      <c r="B8" s="184"/>
      <c r="C8" s="303" t="s">
        <v>166</v>
      </c>
      <c r="D8" s="304"/>
      <c r="E8" s="304"/>
      <c r="F8" s="304"/>
      <c r="G8" s="304"/>
      <c r="H8" s="304"/>
      <c r="I8" s="304"/>
      <c r="J8" s="304"/>
      <c r="K8" s="304"/>
      <c r="L8" s="304"/>
      <c r="M8" s="305"/>
      <c r="N8" s="305"/>
      <c r="O8" s="185"/>
      <c r="P8" s="185"/>
      <c r="Q8" s="185"/>
    </row>
    <row r="9" spans="1:17" ht="15">
      <c r="A9" s="184"/>
      <c r="B9" s="184"/>
      <c r="C9" s="184"/>
      <c r="D9" s="184"/>
      <c r="E9" s="184"/>
      <c r="F9" s="184"/>
      <c r="G9" s="184"/>
      <c r="H9" s="184"/>
      <c r="I9" s="184"/>
      <c r="J9" s="184"/>
      <c r="K9" s="184"/>
      <c r="L9" s="184"/>
      <c r="M9" s="184"/>
      <c r="N9" s="184"/>
      <c r="O9" s="185"/>
      <c r="P9" s="185"/>
      <c r="Q9" s="185"/>
    </row>
    <row r="10" spans="1:17" ht="15">
      <c r="A10" s="184"/>
      <c r="B10" s="184"/>
      <c r="C10" s="184"/>
      <c r="D10" s="184"/>
      <c r="E10" s="184"/>
      <c r="F10" s="184"/>
      <c r="G10" s="184"/>
      <c r="H10" s="184"/>
      <c r="I10" s="184"/>
      <c r="J10" s="184"/>
      <c r="K10" s="184"/>
      <c r="L10" s="184"/>
      <c r="M10" s="184"/>
      <c r="N10" s="184"/>
      <c r="O10" s="185"/>
      <c r="P10" s="185"/>
      <c r="Q10" s="185"/>
    </row>
    <row r="11" spans="1:17" ht="15">
      <c r="A11" s="184"/>
      <c r="B11" s="184"/>
      <c r="C11" s="184"/>
      <c r="D11" s="184"/>
      <c r="E11" s="184"/>
      <c r="F11" s="184"/>
      <c r="G11" s="184"/>
      <c r="H11" s="184"/>
      <c r="I11" s="184"/>
      <c r="J11" s="184"/>
      <c r="K11" s="184"/>
      <c r="L11" s="184"/>
      <c r="M11" s="184"/>
      <c r="N11" s="184"/>
      <c r="O11" s="185"/>
      <c r="P11" s="185"/>
      <c r="Q11" s="185"/>
    </row>
    <row r="12" spans="1:17" ht="15">
      <c r="A12" s="184"/>
      <c r="B12" s="184"/>
      <c r="C12" s="184"/>
      <c r="D12" s="184"/>
      <c r="E12" s="184"/>
      <c r="F12" s="184"/>
      <c r="G12" s="184"/>
      <c r="H12" s="184"/>
      <c r="I12" s="184"/>
      <c r="J12" s="184"/>
      <c r="K12" s="184"/>
      <c r="L12" s="184"/>
      <c r="M12" s="184"/>
      <c r="N12" s="184"/>
      <c r="O12" s="185"/>
      <c r="P12" s="185"/>
      <c r="Q12" s="185"/>
    </row>
    <row r="13" spans="1:17" ht="15">
      <c r="A13" s="184"/>
      <c r="B13" s="184"/>
      <c r="C13" s="184"/>
      <c r="D13" s="184"/>
      <c r="E13" s="184"/>
      <c r="F13" s="184"/>
      <c r="G13" s="184"/>
      <c r="H13" s="184"/>
      <c r="I13" s="184"/>
      <c r="J13" s="184"/>
      <c r="K13" s="184"/>
      <c r="L13" s="184"/>
      <c r="M13" s="184"/>
      <c r="N13" s="184"/>
      <c r="O13" s="185"/>
      <c r="P13" s="185"/>
      <c r="Q13" s="185"/>
    </row>
    <row r="14" spans="1:17" ht="15">
      <c r="A14" s="184"/>
      <c r="B14" s="184"/>
      <c r="C14" s="184"/>
      <c r="D14" s="184"/>
      <c r="E14" s="184"/>
      <c r="F14" s="184"/>
      <c r="G14" s="184"/>
      <c r="H14" s="184"/>
      <c r="I14" s="184"/>
      <c r="J14" s="184"/>
      <c r="K14" s="184"/>
      <c r="L14" s="184"/>
      <c r="M14" s="184"/>
      <c r="N14" s="184"/>
      <c r="O14" s="185"/>
      <c r="P14" s="185"/>
      <c r="Q14" s="185"/>
    </row>
    <row r="15" spans="1:17" ht="15">
      <c r="A15" s="184"/>
      <c r="B15" s="184"/>
      <c r="C15" s="184"/>
      <c r="D15" s="184"/>
      <c r="E15" s="184"/>
      <c r="F15" s="184"/>
      <c r="G15" s="184"/>
      <c r="H15" s="184"/>
      <c r="I15" s="184"/>
      <c r="J15" s="184"/>
      <c r="K15" s="184"/>
      <c r="L15" s="184"/>
      <c r="M15" s="184"/>
      <c r="N15" s="184"/>
      <c r="O15" s="185"/>
      <c r="P15" s="185"/>
      <c r="Q15" s="185"/>
    </row>
    <row r="16" spans="1:24" ht="15">
      <c r="A16" s="184"/>
      <c r="B16" s="184"/>
      <c r="C16" s="184"/>
      <c r="D16" s="184"/>
      <c r="E16" s="184"/>
      <c r="F16" s="184"/>
      <c r="G16" s="184"/>
      <c r="H16" s="184"/>
      <c r="I16" s="184"/>
      <c r="J16" s="184"/>
      <c r="K16" s="184"/>
      <c r="L16" s="184"/>
      <c r="M16" s="184"/>
      <c r="N16" s="184"/>
      <c r="O16" s="185"/>
      <c r="P16" s="185"/>
      <c r="Q16" s="185"/>
      <c r="X16" s="268"/>
    </row>
    <row r="17" spans="1:17" ht="15">
      <c r="A17" s="184"/>
      <c r="B17" s="184"/>
      <c r="C17" s="184"/>
      <c r="D17" s="184"/>
      <c r="E17" s="184"/>
      <c r="F17" s="184"/>
      <c r="G17" s="184"/>
      <c r="H17" s="184"/>
      <c r="I17" s="184"/>
      <c r="J17" s="184"/>
      <c r="K17" s="184"/>
      <c r="L17" s="184"/>
      <c r="M17" s="184"/>
      <c r="N17" s="184"/>
      <c r="O17" s="185"/>
      <c r="P17" s="185"/>
      <c r="Q17" s="185"/>
    </row>
    <row r="18" spans="1:17" ht="15">
      <c r="A18" s="184"/>
      <c r="B18" s="184"/>
      <c r="C18" s="184"/>
      <c r="D18" s="184"/>
      <c r="E18" s="184"/>
      <c r="F18" s="184"/>
      <c r="G18" s="184"/>
      <c r="H18" s="184"/>
      <c r="I18" s="184"/>
      <c r="J18" s="184"/>
      <c r="K18" s="184"/>
      <c r="L18" s="184"/>
      <c r="M18" s="184"/>
      <c r="N18" s="184"/>
      <c r="O18" s="185"/>
      <c r="P18" s="185"/>
      <c r="Q18" s="185"/>
    </row>
    <row r="19" spans="1:17" ht="15">
      <c r="A19" s="184"/>
      <c r="B19" s="184"/>
      <c r="C19" s="184"/>
      <c r="D19" s="184"/>
      <c r="E19" s="184"/>
      <c r="F19" s="184"/>
      <c r="G19" s="184"/>
      <c r="H19" s="184"/>
      <c r="I19" s="184"/>
      <c r="J19" s="184"/>
      <c r="K19" s="184"/>
      <c r="L19" s="184"/>
      <c r="M19" s="184"/>
      <c r="N19" s="184"/>
      <c r="O19" s="185"/>
      <c r="P19" s="185"/>
      <c r="Q19" s="185"/>
    </row>
    <row r="20" spans="1:17" ht="15">
      <c r="A20" s="184"/>
      <c r="B20" s="184"/>
      <c r="C20" s="184"/>
      <c r="D20" s="184"/>
      <c r="E20" s="184"/>
      <c r="F20" s="184"/>
      <c r="G20" s="184"/>
      <c r="H20" s="184"/>
      <c r="I20" s="184"/>
      <c r="J20" s="184"/>
      <c r="K20" s="184"/>
      <c r="L20" s="184"/>
      <c r="M20" s="184"/>
      <c r="N20" s="184"/>
      <c r="O20" s="185"/>
      <c r="P20" s="185"/>
      <c r="Q20" s="185"/>
    </row>
    <row r="21" spans="1:17" ht="15">
      <c r="A21" s="185"/>
      <c r="B21" s="185"/>
      <c r="C21" s="185"/>
      <c r="D21" s="184"/>
      <c r="E21" s="185"/>
      <c r="F21" s="185"/>
      <c r="G21" s="185"/>
      <c r="H21" s="185"/>
      <c r="I21" s="185"/>
      <c r="J21" s="185"/>
      <c r="K21" s="185"/>
      <c r="L21" s="185"/>
      <c r="M21" s="185"/>
      <c r="N21" s="185"/>
      <c r="O21" s="185"/>
      <c r="P21" s="185"/>
      <c r="Q21" s="185"/>
    </row>
    <row r="22" spans="1:17" ht="15">
      <c r="A22" s="185"/>
      <c r="B22" s="185"/>
      <c r="C22" s="185"/>
      <c r="D22" s="185"/>
      <c r="E22" s="185"/>
      <c r="F22" s="185"/>
      <c r="G22" s="185"/>
      <c r="H22" s="185"/>
      <c r="I22" s="185"/>
      <c r="J22" s="185"/>
      <c r="K22" s="185"/>
      <c r="L22" s="185"/>
      <c r="M22" s="185"/>
      <c r="N22" s="185"/>
      <c r="O22" s="185"/>
      <c r="P22" s="185"/>
      <c r="Q22" s="185"/>
    </row>
    <row r="23" spans="1:17" ht="15">
      <c r="A23" s="185"/>
      <c r="B23" s="185"/>
      <c r="C23" s="185"/>
      <c r="D23" s="185"/>
      <c r="E23" s="185"/>
      <c r="F23" s="185"/>
      <c r="G23" s="185"/>
      <c r="H23" s="185"/>
      <c r="I23" s="185"/>
      <c r="J23" s="185"/>
      <c r="K23" s="185"/>
      <c r="L23" s="185"/>
      <c r="M23" s="185"/>
      <c r="N23" s="185"/>
      <c r="O23" s="185"/>
      <c r="P23" s="185"/>
      <c r="Q23" s="185"/>
    </row>
    <row r="24" spans="1:17" ht="15">
      <c r="A24" s="185"/>
      <c r="B24" s="185"/>
      <c r="C24" s="185"/>
      <c r="D24" s="185"/>
      <c r="E24" s="185"/>
      <c r="F24" s="185"/>
      <c r="G24" s="185"/>
      <c r="H24" s="185"/>
      <c r="I24" s="185"/>
      <c r="J24" s="185"/>
      <c r="K24" s="185"/>
      <c r="L24" s="185"/>
      <c r="M24" s="185"/>
      <c r="N24" s="185"/>
      <c r="O24" s="185"/>
      <c r="P24" s="185"/>
      <c r="Q24" s="185"/>
    </row>
    <row r="25" spans="1:17" ht="15">
      <c r="A25" s="185"/>
      <c r="B25" s="185"/>
      <c r="C25" s="185"/>
      <c r="D25" s="185"/>
      <c r="E25" s="185"/>
      <c r="F25" s="185"/>
      <c r="G25" s="185"/>
      <c r="H25" s="185"/>
      <c r="I25" s="185"/>
      <c r="J25" s="185"/>
      <c r="K25" s="185"/>
      <c r="L25" s="185"/>
      <c r="M25" s="185"/>
      <c r="N25" s="185"/>
      <c r="O25" s="185"/>
      <c r="P25" s="185"/>
      <c r="Q25" s="185"/>
    </row>
    <row r="26" spans="1:17" ht="15">
      <c r="A26" s="185"/>
      <c r="B26" s="185"/>
      <c r="C26" s="185"/>
      <c r="D26" s="185"/>
      <c r="E26" s="185"/>
      <c r="F26" s="185"/>
      <c r="G26" s="185"/>
      <c r="H26" s="185"/>
      <c r="I26" s="185"/>
      <c r="J26" s="185"/>
      <c r="K26" s="185"/>
      <c r="L26" s="185"/>
      <c r="M26" s="185"/>
      <c r="N26" s="185"/>
      <c r="O26" s="185"/>
      <c r="P26" s="185"/>
      <c r="Q26" s="185"/>
    </row>
    <row r="27" spans="1:17" ht="15">
      <c r="A27" s="185"/>
      <c r="B27" s="185"/>
      <c r="C27" s="185"/>
      <c r="D27" s="185"/>
      <c r="E27" s="185"/>
      <c r="F27" s="185"/>
      <c r="G27" s="185"/>
      <c r="H27" s="185"/>
      <c r="I27" s="185"/>
      <c r="J27" s="185"/>
      <c r="K27" s="185"/>
      <c r="L27" s="185"/>
      <c r="M27" s="185"/>
      <c r="N27" s="185"/>
      <c r="O27" s="185"/>
      <c r="P27" s="185"/>
      <c r="Q27" s="185"/>
    </row>
    <row r="28" spans="1:17" ht="15">
      <c r="A28" s="185"/>
      <c r="B28" s="185"/>
      <c r="C28" s="185"/>
      <c r="D28" s="185"/>
      <c r="E28" s="185"/>
      <c r="F28" s="185"/>
      <c r="G28" s="185"/>
      <c r="H28" s="185"/>
      <c r="I28" s="185"/>
      <c r="J28" s="185"/>
      <c r="K28" s="185"/>
      <c r="L28" s="185"/>
      <c r="M28" s="185"/>
      <c r="N28" s="185"/>
      <c r="O28" s="185"/>
      <c r="P28" s="185"/>
      <c r="Q28" s="185"/>
    </row>
    <row r="29" spans="1:17" ht="15">
      <c r="A29" s="185"/>
      <c r="B29" s="185"/>
      <c r="C29" s="185"/>
      <c r="D29" s="185"/>
      <c r="E29" s="185"/>
      <c r="F29" s="185"/>
      <c r="G29" s="185"/>
      <c r="H29" s="185"/>
      <c r="I29" s="185"/>
      <c r="J29" s="185"/>
      <c r="K29" s="185"/>
      <c r="L29" s="185"/>
      <c r="M29" s="185"/>
      <c r="N29" s="185"/>
      <c r="O29" s="185"/>
      <c r="P29" s="185"/>
      <c r="Q29" s="185"/>
    </row>
    <row r="30" spans="1:17" ht="15">
      <c r="A30" s="185"/>
      <c r="C30" s="15"/>
      <c r="D30" s="190"/>
      <c r="E30" s="190"/>
      <c r="F30" s="185"/>
      <c r="G30" s="185"/>
      <c r="H30" s="185"/>
      <c r="I30" s="185"/>
      <c r="J30" s="185"/>
      <c r="K30" s="185"/>
      <c r="L30" s="185"/>
      <c r="M30" s="185"/>
      <c r="N30" s="185"/>
      <c r="O30" s="185"/>
      <c r="P30" s="185"/>
      <c r="Q30" s="185"/>
    </row>
    <row r="31" spans="1:17" ht="15">
      <c r="A31" s="185"/>
      <c r="C31" s="95"/>
      <c r="D31" s="95"/>
      <c r="E31" s="95"/>
      <c r="F31" s="95"/>
      <c r="G31" s="95"/>
      <c r="H31" s="95"/>
      <c r="I31" s="95"/>
      <c r="J31" s="95"/>
      <c r="K31" s="95"/>
      <c r="L31" s="96"/>
      <c r="M31" s="96"/>
      <c r="N31" s="185"/>
      <c r="O31" s="185"/>
      <c r="P31" s="185"/>
      <c r="Q31" s="185"/>
    </row>
    <row r="32" spans="1:17" ht="15">
      <c r="A32" s="185"/>
      <c r="C32" s="185"/>
      <c r="D32" s="185"/>
      <c r="E32" s="185"/>
      <c r="F32" s="185"/>
      <c r="G32" s="185"/>
      <c r="H32" s="185"/>
      <c r="I32" s="185"/>
      <c r="J32" s="185"/>
      <c r="K32" s="185"/>
      <c r="L32" s="185"/>
      <c r="M32" s="185"/>
      <c r="N32" s="185"/>
      <c r="O32" s="185"/>
      <c r="P32" s="185"/>
      <c r="Q32" s="185"/>
    </row>
    <row r="33" spans="1:17" ht="15">
      <c r="A33" s="185"/>
      <c r="D33" s="185"/>
      <c r="E33" s="185"/>
      <c r="F33" s="185"/>
      <c r="G33" s="185"/>
      <c r="H33" s="185"/>
      <c r="I33" s="185"/>
      <c r="J33" s="185"/>
      <c r="K33" s="185"/>
      <c r="L33" s="185"/>
      <c r="M33" s="185"/>
      <c r="N33" s="185"/>
      <c r="O33" s="185"/>
      <c r="P33" s="185"/>
      <c r="Q33" s="185"/>
    </row>
    <row r="34" spans="1:17" ht="15.75">
      <c r="A34" s="185"/>
      <c r="C34" s="94" t="s">
        <v>171</v>
      </c>
      <c r="D34" s="185"/>
      <c r="E34" s="185"/>
      <c r="F34" s="185"/>
      <c r="G34" s="185"/>
      <c r="H34" s="185"/>
      <c r="I34" s="185"/>
      <c r="J34" s="185"/>
      <c r="K34" s="185"/>
      <c r="L34" s="185"/>
      <c r="M34" s="185"/>
      <c r="N34" s="185"/>
      <c r="O34" s="185"/>
      <c r="P34" s="185"/>
      <c r="Q34" s="185"/>
    </row>
    <row r="35" spans="1:17" ht="15">
      <c r="A35" s="185"/>
      <c r="N35" s="185"/>
      <c r="O35" s="185"/>
      <c r="P35" s="185"/>
      <c r="Q35" s="185"/>
    </row>
    <row r="36" spans="2:5" ht="15">
      <c r="B36" s="127"/>
      <c r="C36" s="62"/>
      <c r="D36" s="62"/>
      <c r="E36" s="62"/>
    </row>
    <row r="37" ht="15">
      <c r="B37" s="189"/>
    </row>
  </sheetData>
  <sheetProtection/>
  <mergeCells count="1">
    <mergeCell ref="C8:N8"/>
  </mergeCells>
  <printOptions horizontalCentered="1"/>
  <pageMargins left="0.43" right="0.29" top="1" bottom="1" header="0.5" footer="0.5"/>
  <pageSetup fitToHeight="1" fitToWidth="1" horizontalDpi="600" verticalDpi="600" orientation="portrait" paperSize="9" scale="7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4:M68"/>
  <sheetViews>
    <sheetView showGridLines="0" tabSelected="1" zoomScale="80" zoomScaleNormal="80" zoomScalePageLayoutView="0" workbookViewId="0" topLeftCell="A1">
      <selection activeCell="D6" sqref="D6"/>
    </sheetView>
  </sheetViews>
  <sheetFormatPr defaultColWidth="9.140625" defaultRowHeight="12"/>
  <sheetData>
    <row r="4" spans="2:13" ht="18.75" customHeight="1">
      <c r="B4" s="303" t="s">
        <v>164</v>
      </c>
      <c r="C4" s="304"/>
      <c r="D4" s="304"/>
      <c r="E4" s="304"/>
      <c r="F4" s="304"/>
      <c r="G4" s="304"/>
      <c r="H4" s="304"/>
      <c r="I4" s="304"/>
      <c r="J4" s="304"/>
      <c r="K4" s="304"/>
      <c r="L4" s="304"/>
      <c r="M4" s="304"/>
    </row>
    <row r="5" spans="2:13" ht="18.75" customHeight="1">
      <c r="B5" s="94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</row>
    <row r="6" spans="2:13" ht="18.75" customHeight="1">
      <c r="B6" s="94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</row>
    <row r="7" spans="2:13" ht="15.75">
      <c r="B7" s="94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</row>
    <row r="8" spans="2:13" ht="15.75">
      <c r="B8" s="94"/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</row>
    <row r="9" spans="2:13" ht="15.75">
      <c r="B9" s="94"/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</row>
    <row r="10" spans="2:13" ht="15.75">
      <c r="B10" s="94"/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</row>
    <row r="11" spans="2:13" ht="15.75">
      <c r="B11" s="94"/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</row>
    <row r="37" spans="2:13" ht="18">
      <c r="B37" s="306" t="s">
        <v>129</v>
      </c>
      <c r="C37" s="307"/>
      <c r="D37" s="307"/>
      <c r="E37" s="307"/>
      <c r="F37" s="307"/>
      <c r="G37" s="307"/>
      <c r="H37" s="307"/>
      <c r="I37" s="307"/>
      <c r="J37" s="307"/>
      <c r="K37" s="307"/>
      <c r="L37" s="307"/>
      <c r="M37" s="307"/>
    </row>
    <row r="38" ht="11.25">
      <c r="A38" s="130"/>
    </row>
    <row r="43" spans="2:13" ht="15.75">
      <c r="B43" s="94"/>
      <c r="C43" s="290"/>
      <c r="D43" s="95"/>
      <c r="E43" s="95"/>
      <c r="F43" s="95"/>
      <c r="G43" s="95"/>
      <c r="H43" s="95"/>
      <c r="I43" s="95"/>
      <c r="J43" s="95"/>
      <c r="K43" s="95"/>
      <c r="L43" s="95"/>
      <c r="M43" s="95"/>
    </row>
    <row r="68" ht="11.25">
      <c r="B68" s="62"/>
    </row>
  </sheetData>
  <sheetProtection/>
  <mergeCells count="2">
    <mergeCell ref="B4:M4"/>
    <mergeCell ref="B37:M37"/>
  </mergeCells>
  <printOptions/>
  <pageMargins left="0.7" right="0.7" top="0.75" bottom="0.75" header="0.3" footer="0.3"/>
  <pageSetup fitToHeight="1" fitToWidth="1" horizontalDpi="600" verticalDpi="600" orientation="portrait" paperSize="9" scale="6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I87"/>
  <sheetViews>
    <sheetView showGridLines="0" zoomScale="110" zoomScaleNormal="110" zoomScaleSheetLayoutView="75" zoomScalePageLayoutView="0" workbookViewId="0" topLeftCell="A15">
      <selection activeCell="D28" sqref="D28"/>
    </sheetView>
  </sheetViews>
  <sheetFormatPr defaultColWidth="9.140625" defaultRowHeight="12"/>
  <cols>
    <col min="1" max="1" width="83.140625" style="2" customWidth="1"/>
    <col min="2" max="2" width="12.421875" style="2" customWidth="1"/>
    <col min="3" max="3" width="13.421875" style="2" customWidth="1"/>
    <col min="4" max="4" width="24.140625" style="2" customWidth="1"/>
    <col min="5" max="6" width="9.28125" style="2" customWidth="1"/>
    <col min="7" max="7" width="17.28125" style="2" bestFit="1" customWidth="1"/>
    <col min="8" max="8" width="9.28125" style="2" customWidth="1"/>
    <col min="9" max="9" width="16.140625" style="2" bestFit="1" customWidth="1"/>
    <col min="10" max="16384" width="9.28125" style="2" customWidth="1"/>
  </cols>
  <sheetData>
    <row r="1" ht="12.75" thickBot="1">
      <c r="A1" s="21" t="s">
        <v>43</v>
      </c>
    </row>
    <row r="2" spans="1:4" ht="12.75" thickBot="1">
      <c r="A2" s="3" t="s">
        <v>2</v>
      </c>
      <c r="B2" s="47">
        <v>40182</v>
      </c>
      <c r="C2" s="47">
        <v>40210</v>
      </c>
      <c r="D2" s="4"/>
    </row>
    <row r="3" spans="1:4" ht="12">
      <c r="A3" s="5"/>
      <c r="B3" s="32"/>
      <c r="C3" s="32"/>
      <c r="D3" s="4"/>
    </row>
    <row r="4" spans="1:4" ht="12">
      <c r="A4" s="5" t="s">
        <v>159</v>
      </c>
      <c r="B4" s="33">
        <v>7</v>
      </c>
      <c r="C4" s="33">
        <v>7</v>
      </c>
      <c r="D4" s="4"/>
    </row>
    <row r="5" spans="1:4" ht="12">
      <c r="A5" s="5"/>
      <c r="B5" s="33"/>
      <c r="C5" s="33"/>
      <c r="D5" s="4"/>
    </row>
    <row r="6" spans="1:4" ht="12">
      <c r="A6" s="5" t="s">
        <v>39</v>
      </c>
      <c r="B6" s="33">
        <v>11.25</v>
      </c>
      <c r="C6" s="33">
        <v>11.25</v>
      </c>
      <c r="D6" s="4"/>
    </row>
    <row r="7" spans="1:4" ht="12">
      <c r="A7" s="5"/>
      <c r="B7" s="33"/>
      <c r="C7" s="33"/>
      <c r="D7" s="4"/>
    </row>
    <row r="8" spans="1:4" ht="12">
      <c r="A8" s="5" t="s">
        <v>3</v>
      </c>
      <c r="B8" s="33">
        <v>11.63</v>
      </c>
      <c r="C8" s="33">
        <v>11.63</v>
      </c>
      <c r="D8" s="4"/>
    </row>
    <row r="9" spans="1:4" ht="12">
      <c r="A9" s="5"/>
      <c r="B9" s="33"/>
      <c r="C9" s="33"/>
      <c r="D9" s="4"/>
    </row>
    <row r="10" spans="1:4" ht="12">
      <c r="A10" s="5" t="s">
        <v>101</v>
      </c>
      <c r="B10" s="33">
        <v>9.95</v>
      </c>
      <c r="C10" s="33">
        <v>10.15</v>
      </c>
      <c r="D10" s="4"/>
    </row>
    <row r="11" spans="1:4" ht="12">
      <c r="A11" s="5"/>
      <c r="B11" s="33"/>
      <c r="C11" s="33"/>
      <c r="D11" s="4"/>
    </row>
    <row r="12" spans="1:4" ht="12">
      <c r="A12" s="5" t="s">
        <v>4</v>
      </c>
      <c r="B12" s="33">
        <v>5.31</v>
      </c>
      <c r="C12" s="33">
        <v>5.27</v>
      </c>
      <c r="D12" s="4"/>
    </row>
    <row r="13" spans="1:4" ht="12">
      <c r="A13" s="5"/>
      <c r="B13" s="33"/>
      <c r="C13" s="33"/>
      <c r="D13" s="4"/>
    </row>
    <row r="14" spans="1:4" ht="12">
      <c r="A14" s="6" t="s">
        <v>5</v>
      </c>
      <c r="B14" s="33"/>
      <c r="C14" s="33"/>
      <c r="D14" s="4"/>
    </row>
    <row r="15" spans="1:3" ht="12">
      <c r="A15" s="5"/>
      <c r="B15" s="33"/>
      <c r="C15" s="33"/>
    </row>
    <row r="16" spans="1:3" ht="12">
      <c r="A16" s="5" t="s">
        <v>6</v>
      </c>
      <c r="B16" s="50">
        <v>7.06</v>
      </c>
      <c r="C16" s="50">
        <v>7.02</v>
      </c>
    </row>
    <row r="17" spans="1:3" ht="12">
      <c r="A17" s="5" t="s">
        <v>38</v>
      </c>
      <c r="B17" s="50">
        <v>7.38</v>
      </c>
      <c r="C17" s="50">
        <v>7.26</v>
      </c>
    </row>
    <row r="18" spans="1:3" ht="12">
      <c r="A18" s="5" t="s">
        <v>7</v>
      </c>
      <c r="B18" s="50">
        <v>120.36</v>
      </c>
      <c r="C18" s="50">
        <v>150</v>
      </c>
    </row>
    <row r="19" spans="1:3" ht="12">
      <c r="A19" s="5" t="s">
        <v>8</v>
      </c>
      <c r="B19" s="50">
        <v>120.36</v>
      </c>
      <c r="C19" s="50">
        <v>150</v>
      </c>
    </row>
    <row r="20" spans="1:3" ht="12">
      <c r="A20" s="5"/>
      <c r="B20" s="33"/>
      <c r="C20" s="33"/>
    </row>
    <row r="21" spans="1:3" ht="12">
      <c r="A21" s="6" t="s">
        <v>9</v>
      </c>
      <c r="B21" s="33"/>
      <c r="C21" s="33"/>
    </row>
    <row r="22" spans="1:3" ht="12">
      <c r="A22" s="5"/>
      <c r="B22" s="33"/>
      <c r="C22" s="33"/>
    </row>
    <row r="23" spans="1:3" ht="12">
      <c r="A23" s="5" t="s">
        <v>6</v>
      </c>
      <c r="B23" s="50">
        <v>7.22</v>
      </c>
      <c r="C23" s="50">
        <v>7.13</v>
      </c>
    </row>
    <row r="24" spans="1:3" ht="12">
      <c r="A24" s="5" t="s">
        <v>37</v>
      </c>
      <c r="B24" s="50">
        <v>7.59</v>
      </c>
      <c r="C24" s="50">
        <v>7.52</v>
      </c>
    </row>
    <row r="25" spans="1:3" ht="12">
      <c r="A25" s="5" t="s">
        <v>7</v>
      </c>
      <c r="B25" s="50">
        <v>200</v>
      </c>
      <c r="C25" s="50">
        <v>350</v>
      </c>
    </row>
    <row r="26" spans="1:3" ht="12">
      <c r="A26" s="5" t="s">
        <v>8</v>
      </c>
      <c r="B26" s="50">
        <v>200</v>
      </c>
      <c r="C26" s="50">
        <v>350</v>
      </c>
    </row>
    <row r="27" spans="1:3" ht="12">
      <c r="A27" s="5"/>
      <c r="B27" s="33"/>
      <c r="C27" s="33"/>
    </row>
    <row r="28" spans="1:3" ht="12">
      <c r="A28" s="6" t="s">
        <v>160</v>
      </c>
      <c r="B28" s="33"/>
      <c r="C28" s="33"/>
    </row>
    <row r="29" spans="1:3" ht="12">
      <c r="A29" s="5"/>
      <c r="B29" s="48"/>
      <c r="C29" s="48"/>
    </row>
    <row r="30" spans="1:3" ht="12">
      <c r="A30" s="5" t="s">
        <v>6</v>
      </c>
      <c r="B30" s="50">
        <v>7.13</v>
      </c>
      <c r="C30" s="50">
        <v>7.22</v>
      </c>
    </row>
    <row r="31" spans="1:3" ht="12">
      <c r="A31" s="5" t="s">
        <v>37</v>
      </c>
      <c r="B31" s="50">
        <v>7.53</v>
      </c>
      <c r="C31" s="50">
        <v>7.89</v>
      </c>
    </row>
    <row r="32" spans="1:3" ht="12">
      <c r="A32" s="5" t="s">
        <v>7</v>
      </c>
      <c r="B32" s="50">
        <v>100</v>
      </c>
      <c r="C32" s="50">
        <v>100</v>
      </c>
    </row>
    <row r="33" spans="1:3" ht="12">
      <c r="A33" s="5" t="s">
        <v>8</v>
      </c>
      <c r="B33" s="50">
        <v>100</v>
      </c>
      <c r="C33" s="50">
        <v>100</v>
      </c>
    </row>
    <row r="34" spans="1:3" ht="12">
      <c r="A34" s="5"/>
      <c r="B34" s="33"/>
      <c r="C34" s="33"/>
    </row>
    <row r="35" spans="1:3" ht="12">
      <c r="A35" s="5"/>
      <c r="B35" s="33"/>
      <c r="C35" s="33"/>
    </row>
    <row r="36" spans="1:3" ht="12">
      <c r="A36" s="5"/>
      <c r="B36" s="33"/>
      <c r="C36" s="33"/>
    </row>
    <row r="37" spans="1:3" ht="12">
      <c r="A37" s="6" t="s">
        <v>40</v>
      </c>
      <c r="B37" s="131">
        <v>3510.36</v>
      </c>
      <c r="C37" s="131">
        <v>3510.36</v>
      </c>
    </row>
    <row r="38" spans="1:3" ht="12">
      <c r="A38" s="5"/>
      <c r="B38" s="33"/>
      <c r="C38" s="33"/>
    </row>
    <row r="39" spans="1:3" ht="12">
      <c r="A39" s="5"/>
      <c r="B39" s="30"/>
      <c r="C39" s="30"/>
    </row>
    <row r="40" spans="1:3" ht="12.75" thickBot="1">
      <c r="A40" s="5"/>
      <c r="B40" s="66"/>
      <c r="C40" s="66"/>
    </row>
    <row r="41" spans="1:3" ht="12.75" thickBot="1">
      <c r="A41" s="3" t="s">
        <v>10</v>
      </c>
      <c r="B41" s="47">
        <f>B2</f>
        <v>40182</v>
      </c>
      <c r="C41" s="47">
        <f>C2</f>
        <v>40210</v>
      </c>
    </row>
    <row r="42" spans="1:3" ht="12">
      <c r="A42" s="5"/>
      <c r="B42" s="67"/>
      <c r="C42" s="67"/>
    </row>
    <row r="43" spans="1:3" ht="12">
      <c r="A43" s="6" t="s">
        <v>11</v>
      </c>
      <c r="B43" s="30"/>
      <c r="C43" s="30"/>
    </row>
    <row r="44" spans="1:3" ht="12">
      <c r="A44" s="7" t="s">
        <v>80</v>
      </c>
      <c r="B44" s="30"/>
      <c r="C44" s="30"/>
    </row>
    <row r="45" spans="1:3" ht="12">
      <c r="A45" s="5" t="s">
        <v>12</v>
      </c>
      <c r="B45" s="194">
        <v>8.82</v>
      </c>
      <c r="C45" s="194">
        <v>8.82</v>
      </c>
    </row>
    <row r="46" spans="1:3" ht="12">
      <c r="A46" s="5" t="s">
        <v>7</v>
      </c>
      <c r="B46" s="194">
        <v>8</v>
      </c>
      <c r="C46" s="194">
        <v>8</v>
      </c>
    </row>
    <row r="47" spans="1:3" ht="12">
      <c r="A47" s="5" t="s">
        <v>8</v>
      </c>
      <c r="B47" s="194">
        <v>0</v>
      </c>
      <c r="C47" s="194">
        <v>0</v>
      </c>
    </row>
    <row r="48" spans="1:3" ht="12">
      <c r="A48" s="5"/>
      <c r="B48" s="195"/>
      <c r="C48" s="195"/>
    </row>
    <row r="49" spans="1:3" ht="12">
      <c r="A49" s="5" t="s">
        <v>13</v>
      </c>
      <c r="B49" s="270">
        <v>5318.99</v>
      </c>
      <c r="C49" s="270">
        <v>5368.99</v>
      </c>
    </row>
    <row r="50" spans="1:4" ht="12.75" thickBot="1">
      <c r="A50" s="5"/>
      <c r="B50" s="66"/>
      <c r="C50" s="66"/>
      <c r="D50" s="9"/>
    </row>
    <row r="51" spans="1:3" ht="12.75" thickBot="1">
      <c r="A51" s="3" t="s">
        <v>14</v>
      </c>
      <c r="B51" s="47">
        <f>B41</f>
        <v>40182</v>
      </c>
      <c r="C51" s="47">
        <f>C41</f>
        <v>40210</v>
      </c>
    </row>
    <row r="52" spans="1:3" ht="12">
      <c r="A52" s="5"/>
      <c r="B52" s="67"/>
      <c r="C52" s="67"/>
    </row>
    <row r="53" spans="1:3" ht="12">
      <c r="A53" s="6" t="s">
        <v>15</v>
      </c>
      <c r="B53" s="30"/>
      <c r="C53" s="30"/>
    </row>
    <row r="54" spans="1:3" ht="12">
      <c r="A54" s="5"/>
      <c r="B54" s="30"/>
      <c r="C54" s="30"/>
    </row>
    <row r="55" spans="1:4" ht="12">
      <c r="A55" s="5" t="s">
        <v>16</v>
      </c>
      <c r="B55" s="131">
        <v>12.68</v>
      </c>
      <c r="C55" s="131">
        <v>14.67</v>
      </c>
      <c r="D55" s="8"/>
    </row>
    <row r="56" spans="1:9" ht="12">
      <c r="A56" s="5" t="s">
        <v>17</v>
      </c>
      <c r="B56" s="132">
        <v>431.87</v>
      </c>
      <c r="C56" s="132">
        <v>494.05</v>
      </c>
      <c r="D56" s="8"/>
      <c r="G56" s="9"/>
      <c r="I56" s="9"/>
    </row>
    <row r="57" spans="1:4" ht="12">
      <c r="A57" s="5" t="s">
        <v>18</v>
      </c>
      <c r="B57" s="132">
        <v>739.41</v>
      </c>
      <c r="C57" s="132">
        <v>736.29</v>
      </c>
      <c r="D57" s="10"/>
    </row>
    <row r="58" spans="1:4" ht="12">
      <c r="A58" s="5" t="s">
        <v>19</v>
      </c>
      <c r="B58" s="132">
        <v>983.95</v>
      </c>
      <c r="C58" s="132">
        <v>974.13</v>
      </c>
      <c r="D58" s="10"/>
    </row>
    <row r="59" spans="1:3" ht="12">
      <c r="A59" s="5" t="s">
        <v>20</v>
      </c>
      <c r="B59" s="131">
        <v>407.84</v>
      </c>
      <c r="C59" s="131">
        <v>396.85</v>
      </c>
    </row>
    <row r="60" spans="1:9" ht="12">
      <c r="A60" s="5" t="s">
        <v>21</v>
      </c>
      <c r="B60" s="132">
        <v>502.23</v>
      </c>
      <c r="C60" s="132">
        <v>498.22</v>
      </c>
      <c r="G60" s="9"/>
      <c r="I60" s="9"/>
    </row>
    <row r="61" spans="1:9" ht="12">
      <c r="A61" s="5" t="s">
        <v>22</v>
      </c>
      <c r="B61" s="132">
        <v>13.06</v>
      </c>
      <c r="C61" s="132">
        <v>12.01</v>
      </c>
      <c r="G61" s="9"/>
      <c r="I61" s="9"/>
    </row>
    <row r="62" spans="1:3" ht="12">
      <c r="A62" s="5" t="s">
        <v>23</v>
      </c>
      <c r="B62" s="132">
        <v>57.31</v>
      </c>
      <c r="C62" s="132">
        <v>63.24</v>
      </c>
    </row>
    <row r="63" spans="1:3" ht="12">
      <c r="A63" s="5" t="s">
        <v>24</v>
      </c>
      <c r="B63" s="131">
        <v>3.51</v>
      </c>
      <c r="C63" s="131">
        <v>3.81</v>
      </c>
    </row>
    <row r="64" spans="1:3" ht="12">
      <c r="A64" s="5"/>
      <c r="B64" s="132"/>
      <c r="C64" s="132"/>
    </row>
    <row r="65" spans="1:3" ht="12">
      <c r="A65" s="6" t="s">
        <v>25</v>
      </c>
      <c r="B65" s="132"/>
      <c r="C65" s="132"/>
    </row>
    <row r="66" spans="1:4" ht="12">
      <c r="A66" s="5"/>
      <c r="B66" s="132"/>
      <c r="C66" s="132"/>
      <c r="D66" s="8"/>
    </row>
    <row r="67" spans="1:4" ht="12">
      <c r="A67" s="5" t="s">
        <v>16</v>
      </c>
      <c r="B67" s="132">
        <v>0.79</v>
      </c>
      <c r="C67" s="132">
        <v>0.15</v>
      </c>
      <c r="D67" s="8"/>
    </row>
    <row r="68" spans="1:4" ht="12">
      <c r="A68" s="5" t="s">
        <v>17</v>
      </c>
      <c r="B68" s="132">
        <v>8.01</v>
      </c>
      <c r="C68" s="132">
        <v>1.55</v>
      </c>
      <c r="D68" s="9"/>
    </row>
    <row r="69" spans="1:4" ht="12">
      <c r="A69" s="5" t="s">
        <v>18</v>
      </c>
      <c r="B69" s="196">
        <v>155.41</v>
      </c>
      <c r="C69" s="196">
        <v>156.18</v>
      </c>
      <c r="D69" s="9"/>
    </row>
    <row r="70" spans="1:4" ht="12">
      <c r="A70" s="5" t="s">
        <v>19</v>
      </c>
      <c r="B70" s="50">
        <v>7.11</v>
      </c>
      <c r="C70" s="50">
        <v>7.15</v>
      </c>
      <c r="D70" s="9"/>
    </row>
    <row r="71" spans="1:4" ht="12">
      <c r="A71" s="5" t="s">
        <v>20</v>
      </c>
      <c r="B71" s="50">
        <v>0</v>
      </c>
      <c r="C71" s="50">
        <v>0</v>
      </c>
      <c r="D71" s="9"/>
    </row>
    <row r="72" spans="1:4" ht="12">
      <c r="A72" s="5" t="s">
        <v>21</v>
      </c>
      <c r="B72" s="50">
        <v>4.33</v>
      </c>
      <c r="C72" s="50">
        <v>4.34</v>
      </c>
      <c r="D72" s="9"/>
    </row>
    <row r="73" spans="1:4" ht="12">
      <c r="A73" s="5" t="s">
        <v>22</v>
      </c>
      <c r="B73" s="50">
        <v>2.78</v>
      </c>
      <c r="C73" s="50">
        <v>2.8</v>
      </c>
      <c r="D73" s="197"/>
    </row>
    <row r="74" spans="1:3" ht="12">
      <c r="A74" s="5" t="s">
        <v>23</v>
      </c>
      <c r="B74" s="50">
        <v>0</v>
      </c>
      <c r="C74" s="50">
        <v>0</v>
      </c>
    </row>
    <row r="75" spans="1:3" ht="12">
      <c r="A75" s="5" t="s">
        <v>24</v>
      </c>
      <c r="B75" s="50">
        <v>0</v>
      </c>
      <c r="C75" s="50">
        <v>0</v>
      </c>
    </row>
    <row r="76" spans="1:3" ht="12">
      <c r="A76" s="5"/>
      <c r="B76" s="33"/>
      <c r="C76" s="33"/>
    </row>
    <row r="77" spans="1:3" ht="12">
      <c r="A77" s="6" t="s">
        <v>130</v>
      </c>
      <c r="B77" s="33"/>
      <c r="C77" s="33"/>
    </row>
    <row r="78" spans="1:3" ht="12">
      <c r="A78" s="5" t="s">
        <v>131</v>
      </c>
      <c r="B78" s="289">
        <v>1019.95</v>
      </c>
      <c r="C78" s="289">
        <v>6</v>
      </c>
    </row>
    <row r="79" spans="1:3" ht="12">
      <c r="A79" s="5" t="s">
        <v>19</v>
      </c>
      <c r="B79" s="289">
        <v>22.73</v>
      </c>
      <c r="C79" s="289">
        <v>21.99</v>
      </c>
    </row>
    <row r="80" spans="1:3" ht="12.75" thickBot="1">
      <c r="A80" s="5"/>
      <c r="B80" s="33"/>
      <c r="C80" s="33"/>
    </row>
    <row r="81" spans="1:3" ht="12.75" thickBot="1">
      <c r="A81" s="3" t="s">
        <v>79</v>
      </c>
      <c r="B81" s="47">
        <f>B51</f>
        <v>40182</v>
      </c>
      <c r="C81" s="47">
        <f>C51</f>
        <v>40210</v>
      </c>
    </row>
    <row r="82" spans="1:3" ht="12">
      <c r="A82" s="5"/>
      <c r="B82" s="67"/>
      <c r="C82" s="67"/>
    </row>
    <row r="83" spans="1:3" ht="12">
      <c r="A83" s="5" t="s">
        <v>26</v>
      </c>
      <c r="B83" s="65">
        <v>6.3</v>
      </c>
      <c r="C83" s="65">
        <v>6.3</v>
      </c>
    </row>
    <row r="84" spans="1:3" ht="12">
      <c r="A84" s="5" t="s">
        <v>27</v>
      </c>
      <c r="B84" s="65">
        <v>1.5</v>
      </c>
      <c r="C84" s="65">
        <v>1.9</v>
      </c>
    </row>
    <row r="85" spans="1:3" ht="12.75" thickBot="1">
      <c r="A85" s="11" t="s">
        <v>28</v>
      </c>
      <c r="B85" s="52">
        <v>1.5</v>
      </c>
      <c r="C85" s="52">
        <v>0.4</v>
      </c>
    </row>
    <row r="86" ht="12">
      <c r="A86" s="2" t="s">
        <v>106</v>
      </c>
    </row>
    <row r="87" ht="12">
      <c r="A87" s="2" t="s">
        <v>111</v>
      </c>
    </row>
  </sheetData>
  <sheetProtection/>
  <printOptions horizontalCentered="1"/>
  <pageMargins left="0.5" right="0.5" top="0.61" bottom="0.74" header="0.5" footer="0.5"/>
  <pageSetup fitToHeight="1" fitToWidth="1" horizontalDpi="600" verticalDpi="600" orientation="portrait" paperSize="9" scale="7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2:P77"/>
  <sheetViews>
    <sheetView showGridLines="0" zoomScaleSheetLayoutView="75" workbookViewId="0" topLeftCell="A4">
      <selection activeCell="E76" sqref="E76"/>
    </sheetView>
  </sheetViews>
  <sheetFormatPr defaultColWidth="9.140625" defaultRowHeight="12"/>
  <cols>
    <col min="1" max="1" width="3.421875" style="0" customWidth="1"/>
  </cols>
  <sheetData>
    <row r="2" spans="4:14" ht="15.75">
      <c r="D2" s="309"/>
      <c r="E2" s="310"/>
      <c r="F2" s="310"/>
      <c r="G2" s="310"/>
      <c r="H2" s="310"/>
      <c r="I2" s="310"/>
      <c r="J2" s="310"/>
      <c r="K2" s="310"/>
      <c r="L2" s="310"/>
      <c r="M2" s="310"/>
      <c r="N2" s="310"/>
    </row>
    <row r="3" spans="2:12" ht="20.25">
      <c r="B3" s="312"/>
      <c r="C3" s="312"/>
      <c r="D3" s="312"/>
      <c r="E3" s="312"/>
      <c r="F3" s="312"/>
      <c r="G3" s="312"/>
      <c r="H3" s="312"/>
      <c r="I3" s="312"/>
      <c r="J3" s="312"/>
      <c r="K3" s="312"/>
      <c r="L3" s="312"/>
    </row>
    <row r="4" spans="1:16" ht="15.75">
      <c r="A4" s="14"/>
      <c r="B4" s="311" t="s">
        <v>165</v>
      </c>
      <c r="C4" s="311"/>
      <c r="D4" s="311"/>
      <c r="E4" s="311"/>
      <c r="F4" s="311"/>
      <c r="G4" s="311"/>
      <c r="H4" s="311"/>
      <c r="I4" s="311"/>
      <c r="J4" s="311"/>
      <c r="K4" s="311"/>
      <c r="L4" s="311"/>
      <c r="M4" s="14"/>
      <c r="N4" s="14"/>
      <c r="O4" s="14"/>
      <c r="P4" s="14"/>
    </row>
    <row r="5" spans="1:16" ht="18">
      <c r="A5" s="14"/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14"/>
      <c r="N5" s="14"/>
      <c r="O5" s="14"/>
      <c r="P5" s="14"/>
    </row>
    <row r="6" spans="1:16" ht="15">
      <c r="A6" s="14"/>
      <c r="M6" s="14"/>
      <c r="N6" s="14"/>
      <c r="O6" s="14"/>
      <c r="P6" s="14"/>
    </row>
    <row r="7" spans="1:16" ht="15.75">
      <c r="A7" s="308"/>
      <c r="B7" s="308"/>
      <c r="C7" s="308"/>
      <c r="D7" s="308"/>
      <c r="E7" s="308"/>
      <c r="F7" s="308"/>
      <c r="G7" s="308"/>
      <c r="H7" s="308"/>
      <c r="I7" s="308"/>
      <c r="J7" s="308"/>
      <c r="K7" s="14"/>
      <c r="L7" s="14"/>
      <c r="M7" s="14"/>
      <c r="N7" s="14"/>
      <c r="O7" s="14"/>
      <c r="P7" s="14"/>
    </row>
    <row r="8" spans="1:16" ht="15.75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57"/>
      <c r="O8" s="14"/>
      <c r="P8" s="14"/>
    </row>
    <row r="9" spans="1:16" ht="15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</row>
    <row r="10" spans="1:16" ht="15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</row>
    <row r="11" spans="1:16" ht="15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</row>
    <row r="12" spans="1:16" ht="15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</row>
    <row r="13" spans="1:16" ht="15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</row>
    <row r="14" spans="1:16" ht="15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</row>
    <row r="15" spans="1:16" ht="15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</row>
    <row r="16" spans="1:16" ht="15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</row>
    <row r="17" spans="1:16" ht="15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</row>
    <row r="18" spans="1:16" ht="15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</row>
    <row r="19" spans="1:16" ht="15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</row>
    <row r="20" spans="1:16" ht="15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</row>
    <row r="21" spans="1:16" ht="1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</row>
    <row r="22" spans="1:16" ht="15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</row>
    <row r="23" spans="1:16" ht="15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</row>
    <row r="24" spans="1:16" ht="15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</row>
    <row r="25" spans="1:16" ht="15.75">
      <c r="A25" s="14"/>
      <c r="B25" s="311" t="s">
        <v>158</v>
      </c>
      <c r="C25" s="311"/>
      <c r="D25" s="311"/>
      <c r="E25" s="311"/>
      <c r="F25" s="311"/>
      <c r="G25" s="311"/>
      <c r="H25" s="311"/>
      <c r="I25" s="311"/>
      <c r="J25" s="311"/>
      <c r="K25" s="311"/>
      <c r="L25" s="311"/>
      <c r="M25" s="14"/>
      <c r="N25" s="14"/>
      <c r="O25" s="14"/>
      <c r="P25" s="14"/>
    </row>
    <row r="26" spans="1:16" ht="15.75">
      <c r="A26" s="14"/>
      <c r="B26" s="87"/>
      <c r="C26" s="63"/>
      <c r="D26" s="57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</row>
    <row r="27" spans="1:16" ht="15.75">
      <c r="A27" s="14"/>
      <c r="C27" s="63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</row>
    <row r="28" spans="1:16" ht="15">
      <c r="A28" s="14"/>
      <c r="M28" s="14"/>
      <c r="N28" s="14"/>
      <c r="O28" s="14"/>
      <c r="P28" s="14"/>
    </row>
    <row r="29" spans="1:16" ht="15">
      <c r="A29" s="14"/>
      <c r="M29" s="14"/>
      <c r="N29" s="14"/>
      <c r="O29" s="14"/>
      <c r="P29" s="14"/>
    </row>
    <row r="30" spans="13:16" ht="15">
      <c r="M30" s="14"/>
      <c r="N30" s="14"/>
      <c r="O30" s="14"/>
      <c r="P30" s="14"/>
    </row>
    <row r="31" spans="1:16" ht="15">
      <c r="A31" s="14"/>
      <c r="M31" s="14"/>
      <c r="N31" s="14"/>
      <c r="O31" s="14"/>
      <c r="P31" s="14"/>
    </row>
    <row r="32" spans="1:16" ht="15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</row>
    <row r="33" spans="1:16" ht="15">
      <c r="A33" s="14"/>
      <c r="M33" s="14"/>
      <c r="N33" s="14"/>
      <c r="O33" s="14"/>
      <c r="P33" s="14"/>
    </row>
    <row r="34" spans="1:16" ht="15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</row>
    <row r="35" spans="1:16" ht="15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</row>
    <row r="36" spans="1:16" ht="15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</row>
    <row r="37" spans="1:16" ht="15">
      <c r="A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</row>
    <row r="38" spans="1:16" ht="15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</row>
    <row r="39" spans="1:16" ht="15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</row>
    <row r="40" spans="1:16" ht="15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</row>
    <row r="41" spans="1:16" ht="15">
      <c r="A41" s="14"/>
      <c r="N41" s="14"/>
      <c r="O41" s="14"/>
      <c r="P41" s="14"/>
    </row>
    <row r="42" ht="12.75">
      <c r="B42" s="269" t="s">
        <v>103</v>
      </c>
    </row>
    <row r="47" spans="2:12" ht="15.75">
      <c r="B47" s="308" t="s">
        <v>154</v>
      </c>
      <c r="C47" s="304"/>
      <c r="D47" s="304"/>
      <c r="E47" s="304"/>
      <c r="F47" s="304"/>
      <c r="G47" s="304"/>
      <c r="H47" s="304"/>
      <c r="I47" s="304"/>
      <c r="J47" s="304"/>
      <c r="K47" s="304"/>
      <c r="L47" s="304"/>
    </row>
    <row r="62" spans="2:12" ht="20.25">
      <c r="B62" s="205"/>
      <c r="C62" s="206"/>
      <c r="D62" s="206"/>
      <c r="E62" s="206"/>
      <c r="F62" s="206"/>
      <c r="G62" s="206"/>
      <c r="H62" s="206"/>
      <c r="I62" s="206"/>
      <c r="J62" s="206"/>
      <c r="K62" s="206"/>
      <c r="L62" s="206"/>
    </row>
    <row r="63" spans="2:12" ht="20.25">
      <c r="B63" s="205"/>
      <c r="C63" s="206"/>
      <c r="D63" s="206"/>
      <c r="E63" s="206"/>
      <c r="F63" s="206"/>
      <c r="G63" s="206"/>
      <c r="H63" s="206"/>
      <c r="I63" s="206"/>
      <c r="J63" s="206"/>
      <c r="K63" s="206"/>
      <c r="L63" s="206"/>
    </row>
    <row r="64" spans="2:12" ht="20.25">
      <c r="B64" s="205"/>
      <c r="C64" s="206"/>
      <c r="D64" s="206"/>
      <c r="E64" s="206"/>
      <c r="F64" s="206"/>
      <c r="G64" s="206"/>
      <c r="H64" s="206"/>
      <c r="I64" s="206"/>
      <c r="J64" s="206"/>
      <c r="K64" s="206"/>
      <c r="L64" s="206"/>
    </row>
    <row r="68" ht="12.75">
      <c r="B68" s="269" t="s">
        <v>104</v>
      </c>
    </row>
    <row r="77" ht="11.25">
      <c r="B77" s="199"/>
    </row>
  </sheetData>
  <sheetProtection/>
  <mergeCells count="6">
    <mergeCell ref="A7:J7"/>
    <mergeCell ref="B47:L47"/>
    <mergeCell ref="D2:N2"/>
    <mergeCell ref="B4:L4"/>
    <mergeCell ref="B3:L3"/>
    <mergeCell ref="B25:L25"/>
  </mergeCells>
  <printOptions horizontalCentered="1"/>
  <pageMargins left="0.17" right="0.6" top="0.42" bottom="0.5" header="0.44" footer="0.5"/>
  <pageSetup fitToHeight="1" fitToWidth="1" horizontalDpi="600" verticalDpi="600" orientation="portrait" paperSize="9" scale="84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/>
  <dimension ref="A2:CI22"/>
  <sheetViews>
    <sheetView showGridLines="0" zoomScale="90" zoomScaleNormal="90" zoomScaleSheetLayoutView="75" zoomScalePageLayoutView="0" workbookViewId="0" topLeftCell="A1">
      <pane xSplit="59" ySplit="4" topLeftCell="CB5" activePane="bottomRight" state="frozen"/>
      <selection pane="topLeft" activeCell="A1" sqref="A1"/>
      <selection pane="topRight" activeCell="BH1" sqref="BH1"/>
      <selection pane="bottomLeft" activeCell="A5" sqref="A5"/>
      <selection pane="bottomRight" activeCell="CJ10" sqref="CJ10"/>
    </sheetView>
  </sheetViews>
  <sheetFormatPr defaultColWidth="12.7109375" defaultRowHeight="19.5" customHeight="1"/>
  <cols>
    <col min="1" max="1" width="12.7109375" style="31" customWidth="1"/>
    <col min="2" max="2" width="44.28125" style="31" customWidth="1"/>
    <col min="3" max="73" width="12.7109375" style="31" hidden="1" customWidth="1"/>
    <col min="74" max="74" width="0" style="31" hidden="1" customWidth="1"/>
    <col min="75" max="16384" width="12.7109375" style="31" customWidth="1"/>
  </cols>
  <sheetData>
    <row r="2" spans="1:48" ht="19.5" customHeight="1">
      <c r="A2" s="97"/>
      <c r="B2" s="98" t="s">
        <v>120</v>
      </c>
      <c r="C2" s="99"/>
      <c r="D2" s="99"/>
      <c r="E2" s="99"/>
      <c r="F2" s="100"/>
      <c r="G2" s="101"/>
      <c r="H2" s="100"/>
      <c r="I2" s="101"/>
      <c r="J2" s="101"/>
      <c r="K2" s="100"/>
      <c r="L2" s="100"/>
      <c r="M2" s="101"/>
      <c r="N2" s="101"/>
      <c r="O2" s="102"/>
      <c r="P2" s="101"/>
      <c r="Q2" s="100"/>
      <c r="R2" s="101"/>
      <c r="S2" s="101"/>
      <c r="T2" s="103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  <c r="AH2" s="101"/>
      <c r="AI2" s="101"/>
      <c r="AJ2" s="101"/>
      <c r="AK2" s="101"/>
      <c r="AL2" s="101"/>
      <c r="AM2" s="101"/>
      <c r="AN2" s="101"/>
      <c r="AO2" s="101"/>
      <c r="AP2" s="101"/>
      <c r="AQ2" s="101"/>
      <c r="AR2" s="101"/>
      <c r="AS2" s="101"/>
      <c r="AT2" s="101"/>
      <c r="AU2" s="101"/>
      <c r="AV2" s="101"/>
    </row>
    <row r="3" spans="1:62" ht="19.5" customHeight="1" thickBot="1">
      <c r="A3" s="97"/>
      <c r="B3" s="88"/>
      <c r="C3" s="88"/>
      <c r="D3" s="88"/>
      <c r="E3" s="88"/>
      <c r="F3" s="89"/>
      <c r="G3" s="89"/>
      <c r="H3" s="89"/>
      <c r="I3" s="90"/>
      <c r="J3" s="90"/>
      <c r="K3" s="89"/>
      <c r="L3" s="89"/>
      <c r="M3" s="90"/>
      <c r="N3" s="90"/>
      <c r="O3" s="91"/>
      <c r="P3" s="90"/>
      <c r="Q3" s="89"/>
      <c r="R3" s="90"/>
      <c r="S3" s="90"/>
      <c r="T3" s="92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  <c r="AO3" s="90"/>
      <c r="AP3" s="90"/>
      <c r="AQ3" s="90"/>
      <c r="AR3" s="90"/>
      <c r="AS3" s="90"/>
      <c r="AT3" s="90"/>
      <c r="AU3" s="90"/>
      <c r="AV3" s="90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</row>
    <row r="4" spans="1:87" ht="19.5" customHeight="1" thickBot="1">
      <c r="A4" s="97"/>
      <c r="B4" s="207"/>
      <c r="C4" s="208">
        <v>37655</v>
      </c>
      <c r="D4" s="208">
        <v>37681</v>
      </c>
      <c r="E4" s="208">
        <v>37712</v>
      </c>
      <c r="F4" s="208">
        <v>37742</v>
      </c>
      <c r="G4" s="208">
        <v>37773</v>
      </c>
      <c r="H4" s="208">
        <v>37803</v>
      </c>
      <c r="I4" s="208">
        <v>37834</v>
      </c>
      <c r="J4" s="208">
        <v>37865</v>
      </c>
      <c r="K4" s="208">
        <v>37895</v>
      </c>
      <c r="L4" s="208">
        <v>37926</v>
      </c>
      <c r="M4" s="208">
        <v>37956</v>
      </c>
      <c r="N4" s="208">
        <v>37987</v>
      </c>
      <c r="O4" s="209">
        <v>38018</v>
      </c>
      <c r="P4" s="208">
        <v>38047</v>
      </c>
      <c r="Q4" s="208">
        <v>38078</v>
      </c>
      <c r="R4" s="208">
        <v>38108</v>
      </c>
      <c r="S4" s="208">
        <v>38139</v>
      </c>
      <c r="T4" s="208">
        <v>38169</v>
      </c>
      <c r="U4" s="208">
        <v>38200</v>
      </c>
      <c r="V4" s="208">
        <v>38231</v>
      </c>
      <c r="W4" s="208">
        <v>38261</v>
      </c>
      <c r="X4" s="208">
        <v>38292</v>
      </c>
      <c r="Y4" s="208">
        <v>38322</v>
      </c>
      <c r="Z4" s="208">
        <v>38353</v>
      </c>
      <c r="AA4" s="208">
        <v>38384</v>
      </c>
      <c r="AB4" s="208">
        <v>38412</v>
      </c>
      <c r="AC4" s="208">
        <v>38443</v>
      </c>
      <c r="AD4" s="208">
        <v>38473</v>
      </c>
      <c r="AE4" s="208">
        <v>38504</v>
      </c>
      <c r="AF4" s="208">
        <v>38534</v>
      </c>
      <c r="AG4" s="208">
        <v>38565</v>
      </c>
      <c r="AH4" s="208">
        <v>38596</v>
      </c>
      <c r="AI4" s="208">
        <v>38626</v>
      </c>
      <c r="AJ4" s="208">
        <v>38657</v>
      </c>
      <c r="AK4" s="208">
        <v>38687</v>
      </c>
      <c r="AL4" s="208">
        <v>38718</v>
      </c>
      <c r="AM4" s="208">
        <v>38749</v>
      </c>
      <c r="AN4" s="208">
        <v>38777</v>
      </c>
      <c r="AO4" s="208">
        <v>38808</v>
      </c>
      <c r="AP4" s="208">
        <v>38838</v>
      </c>
      <c r="AQ4" s="208">
        <v>38869</v>
      </c>
      <c r="AR4" s="208">
        <v>38929</v>
      </c>
      <c r="AS4" s="208">
        <v>38960</v>
      </c>
      <c r="AT4" s="208">
        <v>38990</v>
      </c>
      <c r="AU4" s="208">
        <v>39021</v>
      </c>
      <c r="AV4" s="208">
        <v>39051</v>
      </c>
      <c r="AW4" s="208">
        <v>39082</v>
      </c>
      <c r="AX4" s="210">
        <v>39113</v>
      </c>
      <c r="AY4" s="210">
        <v>39141</v>
      </c>
      <c r="AZ4" s="210">
        <v>39172</v>
      </c>
      <c r="BA4" s="210">
        <v>39202</v>
      </c>
      <c r="BB4" s="210">
        <v>39233</v>
      </c>
      <c r="BC4" s="210">
        <v>39263</v>
      </c>
      <c r="BD4" s="210">
        <v>39294</v>
      </c>
      <c r="BE4" s="210">
        <v>39325</v>
      </c>
      <c r="BF4" s="210">
        <v>39355</v>
      </c>
      <c r="BG4" s="210">
        <v>39386</v>
      </c>
      <c r="BH4" s="210">
        <v>39416</v>
      </c>
      <c r="BI4" s="210">
        <v>39447</v>
      </c>
      <c r="BJ4" s="210">
        <v>39478</v>
      </c>
      <c r="BK4" s="210">
        <v>39507</v>
      </c>
      <c r="BL4" s="210">
        <v>39538</v>
      </c>
      <c r="BM4" s="210">
        <v>39568</v>
      </c>
      <c r="BN4" s="210">
        <v>39599</v>
      </c>
      <c r="BO4" s="210">
        <v>39629</v>
      </c>
      <c r="BP4" s="210">
        <v>39660</v>
      </c>
      <c r="BQ4" s="210">
        <v>39691</v>
      </c>
      <c r="BR4" s="210">
        <v>39721</v>
      </c>
      <c r="BS4" s="210">
        <v>39752</v>
      </c>
      <c r="BT4" s="210">
        <v>39782</v>
      </c>
      <c r="BU4" s="210">
        <v>39813</v>
      </c>
      <c r="BV4" s="210">
        <v>39844</v>
      </c>
      <c r="BW4" s="210">
        <v>39872</v>
      </c>
      <c r="BX4" s="210">
        <v>39903</v>
      </c>
      <c r="BY4" s="210">
        <v>39933</v>
      </c>
      <c r="BZ4" s="210">
        <v>39964</v>
      </c>
      <c r="CA4" s="210">
        <v>39994</v>
      </c>
      <c r="CB4" s="210">
        <v>40025</v>
      </c>
      <c r="CC4" s="210">
        <v>40056</v>
      </c>
      <c r="CD4" s="210">
        <v>40086</v>
      </c>
      <c r="CE4" s="210">
        <v>40117</v>
      </c>
      <c r="CF4" s="210">
        <v>40147</v>
      </c>
      <c r="CG4" s="210">
        <v>40177</v>
      </c>
      <c r="CH4" s="210">
        <v>40208</v>
      </c>
      <c r="CI4" s="210">
        <v>40237</v>
      </c>
    </row>
    <row r="5" spans="1:87" ht="19.5" customHeight="1">
      <c r="A5" s="124"/>
      <c r="B5" s="211" t="s">
        <v>81</v>
      </c>
      <c r="C5" s="212"/>
      <c r="D5" s="212"/>
      <c r="E5" s="213"/>
      <c r="F5" s="214"/>
      <c r="G5" s="214"/>
      <c r="H5" s="214"/>
      <c r="I5" s="214"/>
      <c r="J5" s="214"/>
      <c r="K5" s="214"/>
      <c r="L5" s="214"/>
      <c r="M5" s="215"/>
      <c r="N5" s="214"/>
      <c r="O5" s="216"/>
      <c r="P5" s="217"/>
      <c r="Q5" s="214"/>
      <c r="R5" s="217"/>
      <c r="S5" s="217"/>
      <c r="T5" s="218"/>
      <c r="U5" s="218"/>
      <c r="V5" s="218"/>
      <c r="W5" s="218"/>
      <c r="X5" s="218"/>
      <c r="Y5" s="218"/>
      <c r="Z5" s="218"/>
      <c r="AA5" s="218"/>
      <c r="AB5" s="218"/>
      <c r="AC5" s="218"/>
      <c r="AD5" s="218"/>
      <c r="AE5" s="218"/>
      <c r="AF5" s="218"/>
      <c r="AG5" s="218"/>
      <c r="AH5" s="218"/>
      <c r="AI5" s="218"/>
      <c r="AJ5" s="218"/>
      <c r="AK5" s="218"/>
      <c r="AL5" s="218"/>
      <c r="AM5" s="218"/>
      <c r="AN5" s="218"/>
      <c r="AO5" s="218"/>
      <c r="AP5" s="218"/>
      <c r="AQ5" s="218"/>
      <c r="AR5" s="218"/>
      <c r="AS5" s="218"/>
      <c r="AT5" s="218"/>
      <c r="AU5" s="218"/>
      <c r="AV5" s="218"/>
      <c r="AW5" s="218"/>
      <c r="AX5" s="218"/>
      <c r="AY5" s="218"/>
      <c r="AZ5" s="218"/>
      <c r="BA5" s="218"/>
      <c r="BB5" s="218"/>
      <c r="BC5" s="218"/>
      <c r="BD5" s="218"/>
      <c r="BE5" s="218"/>
      <c r="BF5" s="218"/>
      <c r="BG5" s="218"/>
      <c r="BH5" s="218"/>
      <c r="BI5" s="218"/>
      <c r="BJ5" s="218"/>
      <c r="BK5" s="218"/>
      <c r="BL5" s="218"/>
      <c r="BM5" s="218"/>
      <c r="BN5" s="218"/>
      <c r="BO5" s="218"/>
      <c r="BP5" s="218"/>
      <c r="BQ5" s="218"/>
      <c r="BR5" s="218"/>
      <c r="BS5" s="218"/>
      <c r="BT5" s="218"/>
      <c r="BU5" s="218"/>
      <c r="BV5" s="218"/>
      <c r="BW5" s="218"/>
      <c r="BX5" s="218"/>
      <c r="BY5" s="218"/>
      <c r="BZ5" s="218"/>
      <c r="CA5" s="218"/>
      <c r="CB5" s="218"/>
      <c r="CC5" s="218"/>
      <c r="CD5" s="218"/>
      <c r="CE5" s="218"/>
      <c r="CF5" s="218"/>
      <c r="CG5" s="218"/>
      <c r="CH5" s="218"/>
      <c r="CI5" s="218"/>
    </row>
    <row r="6" spans="1:87" ht="19.5" customHeight="1">
      <c r="A6" s="97"/>
      <c r="B6" s="211"/>
      <c r="C6" s="212"/>
      <c r="D6" s="212"/>
      <c r="E6" s="213"/>
      <c r="F6" s="214"/>
      <c r="G6" s="214"/>
      <c r="H6" s="214"/>
      <c r="I6" s="214"/>
      <c r="J6" s="214"/>
      <c r="K6" s="214"/>
      <c r="L6" s="214"/>
      <c r="M6" s="215"/>
      <c r="N6" s="214"/>
      <c r="O6" s="216"/>
      <c r="P6" s="217"/>
      <c r="Q6" s="214"/>
      <c r="R6" s="217"/>
      <c r="S6" s="217"/>
      <c r="T6" s="218"/>
      <c r="U6" s="217"/>
      <c r="V6" s="217"/>
      <c r="W6" s="217"/>
      <c r="X6" s="217"/>
      <c r="Y6" s="214"/>
      <c r="Z6" s="214"/>
      <c r="AA6" s="214"/>
      <c r="AB6" s="214"/>
      <c r="AC6" s="214"/>
      <c r="AD6" s="214"/>
      <c r="AE6" s="214"/>
      <c r="AF6" s="214"/>
      <c r="AG6" s="214"/>
      <c r="AH6" s="214"/>
      <c r="AI6" s="214"/>
      <c r="AJ6" s="214"/>
      <c r="AK6" s="214"/>
      <c r="AL6" s="214"/>
      <c r="AM6" s="214"/>
      <c r="AN6" s="214"/>
      <c r="AO6" s="214"/>
      <c r="AP6" s="214"/>
      <c r="AQ6" s="214"/>
      <c r="AR6" s="214"/>
      <c r="AS6" s="214"/>
      <c r="AT6" s="214"/>
      <c r="AU6" s="214"/>
      <c r="AV6" s="214"/>
      <c r="AW6" s="214"/>
      <c r="AX6" s="214"/>
      <c r="AY6" s="214"/>
      <c r="AZ6" s="214"/>
      <c r="BA6" s="214"/>
      <c r="BB6" s="214"/>
      <c r="BC6" s="214"/>
      <c r="BD6" s="214"/>
      <c r="BE6" s="214"/>
      <c r="BF6" s="214"/>
      <c r="BG6" s="214"/>
      <c r="BH6" s="214"/>
      <c r="BI6" s="214"/>
      <c r="BJ6" s="214"/>
      <c r="BK6" s="214"/>
      <c r="BL6" s="214"/>
      <c r="BM6" s="214"/>
      <c r="BN6" s="214"/>
      <c r="BO6" s="214"/>
      <c r="BP6" s="214"/>
      <c r="BQ6" s="214"/>
      <c r="BR6" s="214"/>
      <c r="BS6" s="214"/>
      <c r="BT6" s="214"/>
      <c r="BU6" s="214"/>
      <c r="BV6" s="214"/>
      <c r="BW6" s="214"/>
      <c r="BX6" s="214"/>
      <c r="BY6" s="214"/>
      <c r="BZ6" s="214"/>
      <c r="CA6" s="214"/>
      <c r="CB6" s="214"/>
      <c r="CC6" s="214"/>
      <c r="CD6" s="214"/>
      <c r="CE6" s="214"/>
      <c r="CF6" s="214"/>
      <c r="CG6" s="214"/>
      <c r="CH6" s="214"/>
      <c r="CI6" s="214"/>
    </row>
    <row r="7" spans="2:87" ht="19.5" customHeight="1">
      <c r="B7" s="211" t="s">
        <v>108</v>
      </c>
      <c r="C7" s="219">
        <v>2595.44027685</v>
      </c>
      <c r="D7" s="219">
        <v>2187.8368766900003</v>
      </c>
      <c r="E7" s="219">
        <v>2272.4872471500003</v>
      </c>
      <c r="F7" s="220">
        <v>2113.36340838</v>
      </c>
      <c r="G7" s="220">
        <v>2165.8</v>
      </c>
      <c r="H7" s="221">
        <v>2129.6</v>
      </c>
      <c r="I7" s="214">
        <v>1891</v>
      </c>
      <c r="J7" s="220">
        <v>2181.2</v>
      </c>
      <c r="K7" s="220">
        <v>2467.9</v>
      </c>
      <c r="L7" s="220">
        <v>2091</v>
      </c>
      <c r="M7" s="222">
        <v>2110.3</v>
      </c>
      <c r="N7" s="220">
        <v>2710.8702829799995</v>
      </c>
      <c r="O7" s="223">
        <v>1935.4129830699999</v>
      </c>
      <c r="P7" s="224">
        <v>1824.1042653499997</v>
      </c>
      <c r="Q7" s="214">
        <v>2395.6</v>
      </c>
      <c r="R7" s="214">
        <v>1860.4</v>
      </c>
      <c r="S7" s="214">
        <v>1783.2</v>
      </c>
      <c r="T7" s="214">
        <v>1984.6</v>
      </c>
      <c r="U7" s="214">
        <v>1989.9</v>
      </c>
      <c r="V7" s="214">
        <v>1808.2</v>
      </c>
      <c r="W7" s="214">
        <v>2207.6</v>
      </c>
      <c r="X7" s="214">
        <v>1987.9</v>
      </c>
      <c r="Y7" s="214">
        <v>1977.3</v>
      </c>
      <c r="Z7" s="214">
        <v>2327.5</v>
      </c>
      <c r="AA7" s="214">
        <v>2029.5</v>
      </c>
      <c r="AB7" s="214">
        <v>1912.6</v>
      </c>
      <c r="AC7" s="214">
        <v>2303.8</v>
      </c>
      <c r="AD7" s="214">
        <v>2107.1</v>
      </c>
      <c r="AE7" s="214">
        <v>1874.1</v>
      </c>
      <c r="AF7" s="214">
        <v>2354.7</v>
      </c>
      <c r="AG7" s="214">
        <v>2159.1</v>
      </c>
      <c r="AH7" s="214">
        <v>1818.2</v>
      </c>
      <c r="AI7" s="220">
        <v>2245</v>
      </c>
      <c r="AJ7" s="220">
        <v>1902.22246</v>
      </c>
      <c r="AK7" s="220">
        <v>1983.9</v>
      </c>
      <c r="AL7" s="220">
        <v>2705.5</v>
      </c>
      <c r="AM7" s="220">
        <v>2696</v>
      </c>
      <c r="AN7" s="220">
        <v>2458.1</v>
      </c>
      <c r="AO7" s="220">
        <v>3129.7</v>
      </c>
      <c r="AP7" s="220">
        <v>2973</v>
      </c>
      <c r="AQ7" s="220">
        <v>2677.9</v>
      </c>
      <c r="AR7" s="220">
        <v>3313.1</v>
      </c>
      <c r="AS7" s="220">
        <v>2760.7</v>
      </c>
      <c r="AT7" s="220">
        <v>3119.2</v>
      </c>
      <c r="AU7" s="220">
        <v>4104.4</v>
      </c>
      <c r="AV7" s="220">
        <v>3495.2</v>
      </c>
      <c r="AW7" s="220">
        <v>3164.3</v>
      </c>
      <c r="AX7" s="220">
        <v>4865.6</v>
      </c>
      <c r="AY7" s="220">
        <v>4466.4</v>
      </c>
      <c r="AZ7" s="220">
        <v>5690</v>
      </c>
      <c r="BA7" s="220">
        <v>6260.1</v>
      </c>
      <c r="BB7" s="225">
        <v>5643.8</v>
      </c>
      <c r="BC7" s="226">
        <v>6085.3</v>
      </c>
      <c r="BD7" s="226">
        <v>7455.9</v>
      </c>
      <c r="BE7" s="226">
        <v>6359</v>
      </c>
      <c r="BF7" s="226">
        <v>5868.650081049999</v>
      </c>
      <c r="BG7" s="226">
        <v>6499.853570999999</v>
      </c>
      <c r="BH7" s="226">
        <v>6257.02633294</v>
      </c>
      <c r="BI7" s="226">
        <v>6743.949222620002</v>
      </c>
      <c r="BJ7" s="226">
        <v>8497.90853458</v>
      </c>
      <c r="BK7" s="226">
        <v>8656.654479950002</v>
      </c>
      <c r="BL7" s="226">
        <v>8900.78</v>
      </c>
      <c r="BM7" s="226">
        <v>9949.63092274</v>
      </c>
      <c r="BN7" s="226">
        <v>9441.90025126</v>
      </c>
      <c r="BO7" s="226">
        <v>9697.814715469998</v>
      </c>
      <c r="BP7" s="226">
        <v>11758.2039831</v>
      </c>
      <c r="BQ7" s="226">
        <v>10730.849802119998</v>
      </c>
      <c r="BR7" s="226">
        <v>10942.098551590001</v>
      </c>
      <c r="BS7" s="226">
        <v>13805.317071959998</v>
      </c>
      <c r="BT7" s="226">
        <v>12725.77199603</v>
      </c>
      <c r="BU7" s="227">
        <v>12857.52677013</v>
      </c>
      <c r="BV7" s="227">
        <v>14524</v>
      </c>
      <c r="BW7" s="227">
        <v>13779</v>
      </c>
      <c r="BX7" s="227">
        <v>14136.3</v>
      </c>
      <c r="BY7" s="227">
        <v>14561.206</v>
      </c>
      <c r="BZ7" s="227">
        <v>14205.63</v>
      </c>
      <c r="CA7" s="227">
        <v>13206.787</v>
      </c>
      <c r="CB7" s="227">
        <v>13706.835257</v>
      </c>
      <c r="CC7" s="227">
        <v>13840</v>
      </c>
      <c r="CD7" s="227">
        <v>14719.96</v>
      </c>
      <c r="CE7" s="227">
        <v>15827.33</v>
      </c>
      <c r="CF7" s="227">
        <v>14317.35</v>
      </c>
      <c r="CG7" s="227">
        <v>13828.2</v>
      </c>
      <c r="CH7" s="227">
        <v>14584.6</v>
      </c>
      <c r="CI7" s="227">
        <v>14462.02</v>
      </c>
    </row>
    <row r="8" spans="2:87" ht="19.5" customHeight="1">
      <c r="B8" s="211" t="s">
        <v>29</v>
      </c>
      <c r="C8" s="228"/>
      <c r="D8" s="228">
        <f>D7-C7</f>
        <v>-407.60340015999964</v>
      </c>
      <c r="E8" s="228">
        <f>E7-D7</f>
        <v>84.65037045999998</v>
      </c>
      <c r="F8" s="228">
        <f>F7-E7</f>
        <v>-159.12383877000048</v>
      </c>
      <c r="G8" s="228">
        <f aca="true" t="shared" si="0" ref="G8:AG8">G7-F7</f>
        <v>52.4365916200004</v>
      </c>
      <c r="H8" s="228">
        <f t="shared" si="0"/>
        <v>-36.20000000000027</v>
      </c>
      <c r="I8" s="228">
        <f t="shared" si="0"/>
        <v>-238.5999999999999</v>
      </c>
      <c r="J8" s="228">
        <f t="shared" si="0"/>
        <v>290.1999999999998</v>
      </c>
      <c r="K8" s="228">
        <f t="shared" si="0"/>
        <v>286.7000000000003</v>
      </c>
      <c r="L8" s="228">
        <f t="shared" si="0"/>
        <v>-376.9000000000001</v>
      </c>
      <c r="M8" s="228">
        <f t="shared" si="0"/>
        <v>19.300000000000182</v>
      </c>
      <c r="N8" s="228">
        <f t="shared" si="0"/>
        <v>600.5702829799993</v>
      </c>
      <c r="O8" s="229">
        <f t="shared" si="0"/>
        <v>-775.4572999099996</v>
      </c>
      <c r="P8" s="221">
        <f t="shared" si="0"/>
        <v>-111.30871772000023</v>
      </c>
      <c r="Q8" s="221">
        <f t="shared" si="0"/>
        <v>571.4957346500003</v>
      </c>
      <c r="R8" s="221">
        <f t="shared" si="0"/>
        <v>-535.1999999999998</v>
      </c>
      <c r="S8" s="221">
        <f t="shared" si="0"/>
        <v>-77.20000000000005</v>
      </c>
      <c r="T8" s="221">
        <f t="shared" si="0"/>
        <v>201.39999999999986</v>
      </c>
      <c r="U8" s="221">
        <f t="shared" si="0"/>
        <v>5.300000000000182</v>
      </c>
      <c r="V8" s="221">
        <f t="shared" si="0"/>
        <v>-181.70000000000005</v>
      </c>
      <c r="W8" s="221">
        <f t="shared" si="0"/>
        <v>399.39999999999986</v>
      </c>
      <c r="X8" s="221">
        <f t="shared" si="0"/>
        <v>-219.69999999999982</v>
      </c>
      <c r="Y8" s="221">
        <f t="shared" si="0"/>
        <v>-10.600000000000136</v>
      </c>
      <c r="Z8" s="221">
        <f t="shared" si="0"/>
        <v>350.20000000000005</v>
      </c>
      <c r="AA8" s="221">
        <f t="shared" si="0"/>
        <v>-298</v>
      </c>
      <c r="AB8" s="221">
        <f t="shared" si="0"/>
        <v>-116.90000000000009</v>
      </c>
      <c r="AC8" s="221">
        <f t="shared" si="0"/>
        <v>391.2000000000003</v>
      </c>
      <c r="AD8" s="221">
        <f t="shared" si="0"/>
        <v>-196.70000000000027</v>
      </c>
      <c r="AE8" s="221">
        <f t="shared" si="0"/>
        <v>-233</v>
      </c>
      <c r="AF8" s="221">
        <f t="shared" si="0"/>
        <v>480.5999999999999</v>
      </c>
      <c r="AG8" s="221">
        <f t="shared" si="0"/>
        <v>-195.5999999999999</v>
      </c>
      <c r="AH8" s="221">
        <f aca="true" t="shared" si="1" ref="AH8:BO8">AH7-AG7</f>
        <v>-340.89999999999986</v>
      </c>
      <c r="AI8" s="221">
        <f t="shared" si="1"/>
        <v>426.79999999999995</v>
      </c>
      <c r="AJ8" s="221">
        <f t="shared" si="1"/>
        <v>-342.77754000000004</v>
      </c>
      <c r="AK8" s="221">
        <f t="shared" si="1"/>
        <v>81.67754000000014</v>
      </c>
      <c r="AL8" s="221">
        <f t="shared" si="1"/>
        <v>721.5999999999999</v>
      </c>
      <c r="AM8" s="221">
        <f t="shared" si="1"/>
        <v>-9.5</v>
      </c>
      <c r="AN8" s="221">
        <f t="shared" si="1"/>
        <v>-237.9000000000001</v>
      </c>
      <c r="AO8" s="221">
        <f t="shared" si="1"/>
        <v>671.5999999999999</v>
      </c>
      <c r="AP8" s="221">
        <f t="shared" si="1"/>
        <v>-156.69999999999982</v>
      </c>
      <c r="AQ8" s="221">
        <f t="shared" si="1"/>
        <v>-295.0999999999999</v>
      </c>
      <c r="AR8" s="221">
        <f t="shared" si="1"/>
        <v>635.1999999999998</v>
      </c>
      <c r="AS8" s="221">
        <f t="shared" si="1"/>
        <v>-552.4000000000001</v>
      </c>
      <c r="AT8" s="221">
        <f t="shared" si="1"/>
        <v>358.5</v>
      </c>
      <c r="AU8" s="221">
        <f t="shared" si="1"/>
        <v>985.1999999999998</v>
      </c>
      <c r="AV8" s="221">
        <f t="shared" si="1"/>
        <v>-609.1999999999998</v>
      </c>
      <c r="AW8" s="221">
        <f t="shared" si="1"/>
        <v>-330.89999999999964</v>
      </c>
      <c r="AX8" s="221">
        <f t="shared" si="1"/>
        <v>1701.3000000000002</v>
      </c>
      <c r="AY8" s="221">
        <f t="shared" si="1"/>
        <v>-399.2000000000007</v>
      </c>
      <c r="AZ8" s="221">
        <f t="shared" si="1"/>
        <v>1223.6000000000004</v>
      </c>
      <c r="BA8" s="221">
        <f t="shared" si="1"/>
        <v>570.1000000000004</v>
      </c>
      <c r="BB8" s="230">
        <f t="shared" si="1"/>
        <v>-616.3000000000002</v>
      </c>
      <c r="BC8" s="231">
        <f t="shared" si="1"/>
        <v>441.5</v>
      </c>
      <c r="BD8" s="231">
        <f t="shared" si="1"/>
        <v>1370.5999999999995</v>
      </c>
      <c r="BE8" s="231">
        <f t="shared" si="1"/>
        <v>-1096.8999999999996</v>
      </c>
      <c r="BF8" s="231">
        <f t="shared" si="1"/>
        <v>-490.34991895000076</v>
      </c>
      <c r="BG8" s="231">
        <f t="shared" si="1"/>
        <v>631.2034899499995</v>
      </c>
      <c r="BH8" s="231">
        <f t="shared" si="1"/>
        <v>-242.8272380599983</v>
      </c>
      <c r="BI8" s="231">
        <f t="shared" si="1"/>
        <v>486.9228896800014</v>
      </c>
      <c r="BJ8" s="231">
        <f t="shared" si="1"/>
        <v>1753.9593119599976</v>
      </c>
      <c r="BK8" s="231">
        <f t="shared" si="1"/>
        <v>158.74594537000303</v>
      </c>
      <c r="BL8" s="231">
        <f t="shared" si="1"/>
        <v>244.12552004999816</v>
      </c>
      <c r="BM8" s="231">
        <f t="shared" si="1"/>
        <v>1048.850922739999</v>
      </c>
      <c r="BN8" s="231">
        <f t="shared" si="1"/>
        <v>-507.7306714799997</v>
      </c>
      <c r="BO8" s="231">
        <f t="shared" si="1"/>
        <v>255.9144642099982</v>
      </c>
      <c r="BP8" s="231">
        <f aca="true" t="shared" si="2" ref="BP8:BZ8">BP7-BO7</f>
        <v>2060.389267630002</v>
      </c>
      <c r="BQ8" s="231">
        <f t="shared" si="2"/>
        <v>-1027.3541809800026</v>
      </c>
      <c r="BR8" s="231">
        <f t="shared" si="2"/>
        <v>211.24874947000353</v>
      </c>
      <c r="BS8" s="231">
        <f t="shared" si="2"/>
        <v>2863.2185203699973</v>
      </c>
      <c r="BT8" s="231">
        <f t="shared" si="2"/>
        <v>-1079.5450759299983</v>
      </c>
      <c r="BU8" s="227">
        <f t="shared" si="2"/>
        <v>131.75477409999985</v>
      </c>
      <c r="BV8" s="227">
        <f t="shared" si="2"/>
        <v>1666.47322987</v>
      </c>
      <c r="BW8" s="232">
        <f t="shared" si="2"/>
        <v>-745</v>
      </c>
      <c r="BX8" s="233">
        <f t="shared" si="2"/>
        <v>357.2999999999993</v>
      </c>
      <c r="BY8" s="233">
        <f t="shared" si="2"/>
        <v>424.90600000000086</v>
      </c>
      <c r="BZ8" s="234">
        <f t="shared" si="2"/>
        <v>-355.57600000000093</v>
      </c>
      <c r="CA8" s="234">
        <v>-998.84</v>
      </c>
      <c r="CB8" s="234">
        <f aca="true" t="shared" si="3" ref="CB8:CI8">CB7-CA7</f>
        <v>500.0482570000004</v>
      </c>
      <c r="CC8" s="234">
        <f t="shared" si="3"/>
        <v>133.16474299999936</v>
      </c>
      <c r="CD8" s="234">
        <f t="shared" si="3"/>
        <v>879.9599999999991</v>
      </c>
      <c r="CE8" s="234">
        <f t="shared" si="3"/>
        <v>1107.3700000000008</v>
      </c>
      <c r="CF8" s="234">
        <f t="shared" si="3"/>
        <v>-1509.9799999999996</v>
      </c>
      <c r="CG8" s="234">
        <f t="shared" si="3"/>
        <v>-489.14999999999964</v>
      </c>
      <c r="CH8" s="234">
        <f t="shared" si="3"/>
        <v>756.3999999999996</v>
      </c>
      <c r="CI8" s="234">
        <f t="shared" si="3"/>
        <v>-122.57999999999993</v>
      </c>
    </row>
    <row r="9" spans="2:87" ht="19.5" customHeight="1">
      <c r="B9" s="211"/>
      <c r="C9" s="212"/>
      <c r="D9" s="212"/>
      <c r="E9" s="212"/>
      <c r="F9" s="214"/>
      <c r="G9" s="214"/>
      <c r="H9" s="214"/>
      <c r="I9" s="214"/>
      <c r="J9" s="214"/>
      <c r="K9" s="214"/>
      <c r="L9" s="214"/>
      <c r="M9" s="215"/>
      <c r="N9" s="214"/>
      <c r="O9" s="216"/>
      <c r="P9" s="217"/>
      <c r="Q9" s="214"/>
      <c r="R9" s="217"/>
      <c r="S9" s="217"/>
      <c r="T9" s="214"/>
      <c r="U9" s="214"/>
      <c r="V9" s="214"/>
      <c r="W9" s="214"/>
      <c r="X9" s="214"/>
      <c r="Y9" s="214"/>
      <c r="Z9" s="214"/>
      <c r="AA9" s="214"/>
      <c r="AB9" s="214"/>
      <c r="AC9" s="214"/>
      <c r="AD9" s="214"/>
      <c r="AE9" s="214"/>
      <c r="AF9" s="214"/>
      <c r="AG9" s="214"/>
      <c r="AH9" s="214"/>
      <c r="AI9" s="214"/>
      <c r="AJ9" s="214"/>
      <c r="AK9" s="214"/>
      <c r="AL9" s="214"/>
      <c r="AM9" s="214"/>
      <c r="AN9" s="214"/>
      <c r="AO9" s="214"/>
      <c r="AP9" s="214"/>
      <c r="AQ9" s="214"/>
      <c r="AR9" s="214"/>
      <c r="AS9" s="214"/>
      <c r="AT9" s="214"/>
      <c r="AU9" s="214"/>
      <c r="AV9" s="214"/>
      <c r="AW9" s="214"/>
      <c r="AX9" s="214"/>
      <c r="AY9" s="214"/>
      <c r="AZ9" s="214"/>
      <c r="BA9" s="214"/>
      <c r="BB9" s="235"/>
      <c r="BC9" s="235"/>
      <c r="BD9" s="235"/>
      <c r="BE9" s="235"/>
      <c r="BF9" s="235"/>
      <c r="BG9" s="235"/>
      <c r="BH9" s="235"/>
      <c r="BI9" s="235"/>
      <c r="BJ9" s="235"/>
      <c r="BK9" s="235"/>
      <c r="BL9" s="235"/>
      <c r="BM9" s="235"/>
      <c r="BN9" s="235"/>
      <c r="BO9" s="235"/>
      <c r="BP9" s="235"/>
      <c r="BQ9" s="235"/>
      <c r="BR9" s="235"/>
      <c r="BS9" s="235"/>
      <c r="BT9" s="235"/>
      <c r="BU9" s="236"/>
      <c r="BV9" s="236"/>
      <c r="BW9" s="227"/>
      <c r="BX9" s="227"/>
      <c r="BY9" s="227"/>
      <c r="BZ9" s="227"/>
      <c r="CA9" s="227"/>
      <c r="CB9" s="227"/>
      <c r="CC9" s="227"/>
      <c r="CD9" s="227"/>
      <c r="CE9" s="227"/>
      <c r="CF9" s="227"/>
      <c r="CG9" s="227"/>
      <c r="CH9" s="227"/>
      <c r="CI9" s="227"/>
    </row>
    <row r="10" spans="2:87" ht="19.5" customHeight="1">
      <c r="B10" s="211" t="s">
        <v>41</v>
      </c>
      <c r="C10" s="212"/>
      <c r="D10" s="212"/>
      <c r="E10" s="212"/>
      <c r="F10" s="214"/>
      <c r="G10" s="214"/>
      <c r="H10" s="214"/>
      <c r="I10" s="214"/>
      <c r="J10" s="214"/>
      <c r="K10" s="214"/>
      <c r="L10" s="214"/>
      <c r="M10" s="215"/>
      <c r="N10" s="214"/>
      <c r="O10" s="216"/>
      <c r="P10" s="217"/>
      <c r="Q10" s="214"/>
      <c r="R10" s="217"/>
      <c r="S10" s="217"/>
      <c r="T10" s="214"/>
      <c r="U10" s="214"/>
      <c r="V10" s="214"/>
      <c r="W10" s="214"/>
      <c r="X10" s="214"/>
      <c r="Y10" s="214"/>
      <c r="Z10" s="214"/>
      <c r="AA10" s="214"/>
      <c r="AB10" s="214"/>
      <c r="AC10" s="214"/>
      <c r="AD10" s="214"/>
      <c r="AE10" s="214"/>
      <c r="AF10" s="214"/>
      <c r="AG10" s="214"/>
      <c r="AH10" s="214"/>
      <c r="AI10" s="214"/>
      <c r="AJ10" s="214"/>
      <c r="AK10" s="214"/>
      <c r="AL10" s="214"/>
      <c r="AM10" s="214"/>
      <c r="AN10" s="214"/>
      <c r="AO10" s="214"/>
      <c r="AP10" s="214"/>
      <c r="AQ10" s="214"/>
      <c r="AR10" s="214"/>
      <c r="AS10" s="214"/>
      <c r="AT10" s="214"/>
      <c r="AU10" s="214"/>
      <c r="AV10" s="214"/>
      <c r="AW10" s="214"/>
      <c r="AX10" s="214"/>
      <c r="AY10" s="214"/>
      <c r="AZ10" s="214"/>
      <c r="BA10" s="214"/>
      <c r="BB10" s="235"/>
      <c r="BC10" s="235"/>
      <c r="BD10" s="235"/>
      <c r="BE10" s="235"/>
      <c r="BF10" s="235"/>
      <c r="BG10" s="235"/>
      <c r="BH10" s="235"/>
      <c r="BI10" s="235"/>
      <c r="BJ10" s="235"/>
      <c r="BK10" s="235"/>
      <c r="BL10" s="235"/>
      <c r="BM10" s="235"/>
      <c r="BN10" s="235"/>
      <c r="BO10" s="235"/>
      <c r="BP10" s="235"/>
      <c r="BQ10" s="235"/>
      <c r="BR10" s="235"/>
      <c r="BS10" s="235"/>
      <c r="BT10" s="235"/>
      <c r="BU10" s="236"/>
      <c r="BV10" s="236"/>
      <c r="BW10" s="227"/>
      <c r="BX10" s="227"/>
      <c r="BY10" s="227"/>
      <c r="BZ10" s="227"/>
      <c r="CA10" s="227"/>
      <c r="CB10" s="227"/>
      <c r="CC10" s="227"/>
      <c r="CD10" s="227"/>
      <c r="CE10" s="227"/>
      <c r="CF10" s="227"/>
      <c r="CG10" s="227"/>
      <c r="CH10" s="227"/>
      <c r="CI10" s="227"/>
    </row>
    <row r="11" spans="2:87" ht="19.5" customHeight="1">
      <c r="B11" s="211"/>
      <c r="C11" s="212"/>
      <c r="D11" s="212"/>
      <c r="E11" s="212"/>
      <c r="F11" s="214"/>
      <c r="G11" s="214"/>
      <c r="H11" s="214"/>
      <c r="I11" s="214"/>
      <c r="J11" s="214"/>
      <c r="K11" s="214"/>
      <c r="L11" s="214"/>
      <c r="M11" s="215"/>
      <c r="N11" s="214"/>
      <c r="O11" s="216"/>
      <c r="P11" s="217"/>
      <c r="Q11" s="214"/>
      <c r="R11" s="217"/>
      <c r="S11" s="217"/>
      <c r="T11" s="214"/>
      <c r="U11" s="214"/>
      <c r="V11" s="214"/>
      <c r="W11" s="214"/>
      <c r="X11" s="214"/>
      <c r="Y11" s="214"/>
      <c r="Z11" s="214"/>
      <c r="AA11" s="214"/>
      <c r="AB11" s="214"/>
      <c r="AC11" s="214"/>
      <c r="AD11" s="214"/>
      <c r="AE11" s="214"/>
      <c r="AF11" s="214"/>
      <c r="AG11" s="214"/>
      <c r="AH11" s="214"/>
      <c r="AI11" s="214"/>
      <c r="AJ11" s="214"/>
      <c r="AK11" s="214"/>
      <c r="AL11" s="214"/>
      <c r="AM11" s="214"/>
      <c r="AN11" s="214"/>
      <c r="AO11" s="214"/>
      <c r="AP11" s="214"/>
      <c r="AQ11" s="214"/>
      <c r="AR11" s="214"/>
      <c r="AS11" s="214"/>
      <c r="AT11" s="214"/>
      <c r="AU11" s="214"/>
      <c r="AV11" s="214"/>
      <c r="AW11" s="214"/>
      <c r="AX11" s="214"/>
      <c r="AY11" s="214"/>
      <c r="AZ11" s="214"/>
      <c r="BA11" s="214"/>
      <c r="BB11" s="235"/>
      <c r="BC11" s="235"/>
      <c r="BD11" s="235"/>
      <c r="BE11" s="235"/>
      <c r="BF11" s="235"/>
      <c r="BG11" s="235"/>
      <c r="BH11" s="235"/>
      <c r="BI11" s="235"/>
      <c r="BJ11" s="235"/>
      <c r="BK11" s="235"/>
      <c r="BL11" s="235"/>
      <c r="BM11" s="235"/>
      <c r="BN11" s="235"/>
      <c r="BO11" s="235"/>
      <c r="BP11" s="235"/>
      <c r="BQ11" s="235"/>
      <c r="BR11" s="235"/>
      <c r="BS11" s="235"/>
      <c r="BT11" s="235"/>
      <c r="BU11" s="236"/>
      <c r="BV11" s="236"/>
      <c r="BW11" s="227"/>
      <c r="BX11" s="227"/>
      <c r="BY11" s="227"/>
      <c r="BZ11" s="227"/>
      <c r="CA11" s="227"/>
      <c r="CB11" s="227"/>
      <c r="CC11" s="227"/>
      <c r="CD11" s="227"/>
      <c r="CE11" s="227"/>
      <c r="CF11" s="227"/>
      <c r="CG11" s="227"/>
      <c r="CH11" s="227"/>
      <c r="CI11" s="227"/>
    </row>
    <row r="12" spans="2:87" ht="19.5" customHeight="1">
      <c r="B12" s="211" t="s">
        <v>30</v>
      </c>
      <c r="C12" s="212"/>
      <c r="D12" s="212">
        <v>8.0439</v>
      </c>
      <c r="E12" s="212">
        <v>7.7068</v>
      </c>
      <c r="F12" s="237">
        <v>7.6652</v>
      </c>
      <c r="G12" s="237">
        <v>7.9027</v>
      </c>
      <c r="H12" s="237">
        <v>7.5401</v>
      </c>
      <c r="I12" s="214">
        <v>7.3922</v>
      </c>
      <c r="J12" s="214">
        <v>7.3246</v>
      </c>
      <c r="K12" s="214">
        <v>6.9637</v>
      </c>
      <c r="L12" s="214">
        <v>6.7287</v>
      </c>
      <c r="M12" s="215">
        <v>6.5159</v>
      </c>
      <c r="N12" s="214">
        <v>6.9179</v>
      </c>
      <c r="O12" s="215">
        <v>6.7686</v>
      </c>
      <c r="P12" s="214">
        <v>6.6633</v>
      </c>
      <c r="Q12" s="214">
        <v>6.5537</v>
      </c>
      <c r="R12" s="214">
        <v>6.7821</v>
      </c>
      <c r="S12" s="214">
        <v>6.4381</v>
      </c>
      <c r="T12" s="238">
        <v>6.1287</v>
      </c>
      <c r="U12" s="214">
        <v>6.4575</v>
      </c>
      <c r="V12" s="214">
        <v>6.5469</v>
      </c>
      <c r="W12" s="214">
        <v>6.3876</v>
      </c>
      <c r="X12" s="214">
        <v>6.0558</v>
      </c>
      <c r="Y12" s="214">
        <v>5.7323</v>
      </c>
      <c r="Z12" s="214">
        <v>5.9698</v>
      </c>
      <c r="AA12" s="214">
        <v>6.0161</v>
      </c>
      <c r="AB12" s="214">
        <v>6.323</v>
      </c>
      <c r="AC12" s="214">
        <v>6.1521</v>
      </c>
      <c r="AD12" s="214">
        <v>6.3314</v>
      </c>
      <c r="AE12" s="238">
        <v>6.75</v>
      </c>
      <c r="AF12" s="238">
        <v>6.7035</v>
      </c>
      <c r="AG12" s="238">
        <v>6.465</v>
      </c>
      <c r="AH12" s="238">
        <v>6.3578</v>
      </c>
      <c r="AI12" s="238">
        <v>6.5766</v>
      </c>
      <c r="AJ12" s="238">
        <v>6.521</v>
      </c>
      <c r="AK12" s="238">
        <v>6.3591</v>
      </c>
      <c r="AL12" s="238">
        <v>6.0891</v>
      </c>
      <c r="AM12" s="238">
        <v>6.1177</v>
      </c>
      <c r="AN12" s="238">
        <v>6.2544</v>
      </c>
      <c r="AO12" s="238">
        <v>6.072</v>
      </c>
      <c r="AP12" s="238">
        <v>6.3199</v>
      </c>
      <c r="AQ12" s="238">
        <v>6.9549</v>
      </c>
      <c r="AR12" s="238">
        <v>7.0843</v>
      </c>
      <c r="AS12" s="238">
        <v>6.9553</v>
      </c>
      <c r="AT12" s="238">
        <v>7.4098</v>
      </c>
      <c r="AU12" s="238">
        <v>7.6492</v>
      </c>
      <c r="AV12" s="238">
        <v>7.2586</v>
      </c>
      <c r="AW12" s="238">
        <v>7.0406</v>
      </c>
      <c r="AX12" s="238">
        <v>7.1838</v>
      </c>
      <c r="AY12" s="238">
        <v>7.1698</v>
      </c>
      <c r="AZ12" s="238">
        <v>7.3514</v>
      </c>
      <c r="BA12" s="238">
        <v>7.1216</v>
      </c>
      <c r="BB12" s="239">
        <v>7.0187</v>
      </c>
      <c r="BC12" s="239">
        <v>7.1718</v>
      </c>
      <c r="BD12" s="239">
        <v>6.973</v>
      </c>
      <c r="BE12" s="239">
        <v>7.2334</v>
      </c>
      <c r="BF12" s="239">
        <v>7.1282</v>
      </c>
      <c r="BG12" s="239">
        <v>6.7729</v>
      </c>
      <c r="BH12" s="239">
        <v>6.701</v>
      </c>
      <c r="BI12" s="239">
        <v>6.8271</v>
      </c>
      <c r="BJ12" s="239">
        <v>6.9874</v>
      </c>
      <c r="BK12" s="239">
        <v>7.6386</v>
      </c>
      <c r="BL12" s="239">
        <v>7.9799</v>
      </c>
      <c r="BM12" s="239">
        <v>7.7933</v>
      </c>
      <c r="BN12" s="239">
        <v>7.6238</v>
      </c>
      <c r="BO12" s="239">
        <v>7.9188</v>
      </c>
      <c r="BP12" s="239">
        <v>7.6393</v>
      </c>
      <c r="BQ12" s="239">
        <v>7.6578</v>
      </c>
      <c r="BR12" s="239">
        <v>8.0472</v>
      </c>
      <c r="BS12" s="239">
        <v>9.6715</v>
      </c>
      <c r="BT12" s="239">
        <v>10.1177</v>
      </c>
      <c r="BU12" s="240">
        <v>9.9456</v>
      </c>
      <c r="BV12" s="240">
        <v>9.897</v>
      </c>
      <c r="BW12" s="241">
        <v>10.0062</v>
      </c>
      <c r="BX12" s="241">
        <v>9.9932</v>
      </c>
      <c r="BY12" s="241">
        <v>9.018</v>
      </c>
      <c r="BZ12" s="241">
        <v>8.3723</v>
      </c>
      <c r="CA12" s="241">
        <v>8.0518</v>
      </c>
      <c r="CB12" s="241">
        <v>7.9513</v>
      </c>
      <c r="CC12" s="241">
        <v>7.9415</v>
      </c>
      <c r="CD12" s="241">
        <v>7.5235</v>
      </c>
      <c r="CE12" s="241">
        <v>8.5235</v>
      </c>
      <c r="CF12" s="241">
        <v>7.506138</v>
      </c>
      <c r="CG12" s="241">
        <v>7.4894</v>
      </c>
      <c r="CH12" s="241">
        <v>7.4527</v>
      </c>
      <c r="CI12" s="241">
        <v>7.7585</v>
      </c>
    </row>
    <row r="13" spans="2:87" ht="19.5" customHeight="1">
      <c r="B13" s="211" t="s">
        <v>31</v>
      </c>
      <c r="C13" s="242"/>
      <c r="D13" s="242">
        <f>1/8.0439</f>
        <v>0.124317806039359</v>
      </c>
      <c r="E13" s="242">
        <f>1/7.7068</f>
        <v>0.12975554056158198</v>
      </c>
      <c r="F13" s="243">
        <f>1/7.6652</f>
        <v>0.13045974012419767</v>
      </c>
      <c r="G13" s="243">
        <f>1/7.9027</f>
        <v>0.12653903096410088</v>
      </c>
      <c r="H13" s="243">
        <f>1/7.5401</f>
        <v>0.1326242357528415</v>
      </c>
      <c r="I13" s="243">
        <f>1/7.3922</f>
        <v>0.13527772516977354</v>
      </c>
      <c r="J13" s="243">
        <f>1/7.3246</f>
        <v>0.1365262266881468</v>
      </c>
      <c r="K13" s="243">
        <f>1/6.9637</f>
        <v>0.14360182087108864</v>
      </c>
      <c r="L13" s="243">
        <f>1/6.7287</f>
        <v>0.14861711771961894</v>
      </c>
      <c r="M13" s="243">
        <f>1/6.5159</f>
        <v>0.15347074080326586</v>
      </c>
      <c r="N13" s="243">
        <f>1/6.9179</f>
        <v>0.14455253761979792</v>
      </c>
      <c r="O13" s="244">
        <f>1/6.7686</f>
        <v>0.14774103950595396</v>
      </c>
      <c r="P13" s="243">
        <f>1/6.6633</f>
        <v>0.1500757882730779</v>
      </c>
      <c r="Q13" s="243">
        <f>1/6.5537</f>
        <v>0.15258556235409004</v>
      </c>
      <c r="R13" s="243">
        <f>1/6.7821</f>
        <v>0.14744695595759427</v>
      </c>
      <c r="S13" s="243">
        <f>1/6.4381</f>
        <v>0.15532532890138395</v>
      </c>
      <c r="T13" s="243">
        <f>1/6.1287</f>
        <v>0.1631667400916997</v>
      </c>
      <c r="U13" s="243">
        <f>1/6.4575</f>
        <v>0.1548586914440573</v>
      </c>
      <c r="V13" s="243">
        <f>1/6.5469</f>
        <v>0.15274404680077594</v>
      </c>
      <c r="W13" s="243">
        <f>1/6.3876</f>
        <v>0.15655332206149414</v>
      </c>
      <c r="X13" s="243">
        <f>1/6.0558</f>
        <v>0.16513094884243207</v>
      </c>
      <c r="Y13" s="243">
        <f>1/5.7323</f>
        <v>0.17445004622926225</v>
      </c>
      <c r="Z13" s="243">
        <f>1/5.9698</f>
        <v>0.1675097993232604</v>
      </c>
      <c r="AA13" s="243">
        <f>1/6.0161</f>
        <v>0.16622064127923405</v>
      </c>
      <c r="AB13" s="243">
        <f>1/6.0101</f>
        <v>0.16638658258598024</v>
      </c>
      <c r="AC13" s="243">
        <f>1/6.1521</f>
        <v>0.16254612246224867</v>
      </c>
      <c r="AD13" s="243">
        <f>1/6.3314</f>
        <v>0.1579429510060966</v>
      </c>
      <c r="AE13" s="243">
        <f>1/6.75</f>
        <v>0.14814814814814814</v>
      </c>
      <c r="AF13" s="243">
        <f>1/6.7035</f>
        <v>0.14917580368464234</v>
      </c>
      <c r="AG13" s="243">
        <f>1/6.465</f>
        <v>0.15467904098994587</v>
      </c>
      <c r="AH13" s="243">
        <f>1/6.3578</f>
        <v>0.1572871118940514</v>
      </c>
      <c r="AI13" s="243">
        <f>1/6.5766</f>
        <v>0.15205425295745523</v>
      </c>
      <c r="AJ13" s="243">
        <f>1/6.521</f>
        <v>0.15335071308081583</v>
      </c>
      <c r="AK13" s="243">
        <f>1/6.3591</f>
        <v>0.157254957462534</v>
      </c>
      <c r="AL13" s="243">
        <f>1/6.0891</f>
        <v>0.1642278826099095</v>
      </c>
      <c r="AM13" s="243">
        <f>1/6.1177</f>
        <v>0.16346012390277392</v>
      </c>
      <c r="AN13" s="243">
        <f>1/6.2544</f>
        <v>0.15988743924277307</v>
      </c>
      <c r="AO13" s="243">
        <f>1/6.072</f>
        <v>0.16469038208168643</v>
      </c>
      <c r="AP13" s="243">
        <f>1/6.3199</f>
        <v>0.15823035174607195</v>
      </c>
      <c r="AQ13" s="243">
        <f>1/6.9549</f>
        <v>0.14378351953299112</v>
      </c>
      <c r="AR13" s="243">
        <f>1/7.0843</f>
        <v>0.14115720678119223</v>
      </c>
      <c r="AS13" s="243">
        <f>1/6.9553</f>
        <v>0.14377525052837403</v>
      </c>
      <c r="AT13" s="243">
        <f>1/7.4098</f>
        <v>0.1349564090798672</v>
      </c>
      <c r="AU13" s="243">
        <f>1/7.6492</f>
        <v>0.13073262563405322</v>
      </c>
      <c r="AV13" s="243">
        <f>1/7.2586</f>
        <v>0.1377676135893974</v>
      </c>
      <c r="AW13" s="243">
        <f>1/7.0406</f>
        <v>0.14203334943044627</v>
      </c>
      <c r="AX13" s="243">
        <f>1/7.1838</f>
        <v>0.13920209359948774</v>
      </c>
      <c r="AY13" s="243">
        <f>1/7.1698</f>
        <v>0.13947390443248067</v>
      </c>
      <c r="AZ13" s="243">
        <f>1/7.3514</f>
        <v>0.13602851157602633</v>
      </c>
      <c r="BA13" s="243">
        <f>1/7.1216</f>
        <v>0.14041788362165805</v>
      </c>
      <c r="BB13" s="245">
        <f>1/7.0187</f>
        <v>0.14247652699217803</v>
      </c>
      <c r="BC13" s="245">
        <f>1/7.1718</f>
        <v>0.13943500934214562</v>
      </c>
      <c r="BD13" s="245">
        <f>1/6.973</f>
        <v>0.1434102968593145</v>
      </c>
      <c r="BE13" s="245">
        <f>1/7.2334</f>
        <v>0.1382475737550806</v>
      </c>
      <c r="BF13" s="245">
        <f>1/7.1282</f>
        <v>0.14028787071069837</v>
      </c>
      <c r="BG13" s="245">
        <f>1/6.7729</f>
        <v>0.14764724121129796</v>
      </c>
      <c r="BH13" s="245">
        <f>1/6.701</f>
        <v>0.14923145799134457</v>
      </c>
      <c r="BI13" s="245">
        <f>1/6.8271</f>
        <v>0.14647507726560327</v>
      </c>
      <c r="BJ13" s="245">
        <f>1/6.9871</f>
        <v>0.1431208942193471</v>
      </c>
      <c r="BK13" s="245">
        <f>1/7.6386</f>
        <v>0.13091404184012775</v>
      </c>
      <c r="BL13" s="245">
        <f>1/7.9799</f>
        <v>0.1253148535695936</v>
      </c>
      <c r="BM13" s="245">
        <f>1/7.7933</f>
        <v>0.1283153477987502</v>
      </c>
      <c r="BN13" s="245">
        <f>1/7.6238</f>
        <v>0.13116818384532647</v>
      </c>
      <c r="BO13" s="245">
        <f>1/7.9188</f>
        <v>0.12628175986260545</v>
      </c>
      <c r="BP13" s="245">
        <f>1/7.6393</f>
        <v>0.13090204599897895</v>
      </c>
      <c r="BQ13" s="245">
        <f>1/7.6578</f>
        <v>0.1305858079343937</v>
      </c>
      <c r="BR13" s="245">
        <f>1/8.0472</f>
        <v>0.12426682572820359</v>
      </c>
      <c r="BS13" s="245">
        <f>1/9.6715</f>
        <v>0.10339657757328233</v>
      </c>
      <c r="BT13" s="245">
        <f>1/10.1177</f>
        <v>0.09883669213358769</v>
      </c>
      <c r="BU13" s="240">
        <f>1/9.9456</f>
        <v>0.10054697554697554</v>
      </c>
      <c r="BV13" s="240">
        <f>1/9.897</f>
        <v>0.1010407194099222</v>
      </c>
      <c r="BW13" s="241">
        <f>1/10.006</f>
        <v>0.09994003597841294</v>
      </c>
      <c r="BX13" s="241">
        <f>1/9.9932</f>
        <v>0.1000680462714646</v>
      </c>
      <c r="BY13" s="241">
        <f>1/9.018</f>
        <v>0.11088933244621867</v>
      </c>
      <c r="BZ13" s="241">
        <f>1/8.3723</f>
        <v>0.11944149158534693</v>
      </c>
      <c r="CA13" s="241">
        <v>0.12419583198787848</v>
      </c>
      <c r="CB13" s="241">
        <f>1/7.9513</f>
        <v>0.12576559807830168</v>
      </c>
      <c r="CC13" s="241">
        <f>1/7.9415</f>
        <v>0.12592079581942958</v>
      </c>
      <c r="CD13" s="241">
        <f>1/7.5235</f>
        <v>0.1329168605037549</v>
      </c>
      <c r="CE13" s="241">
        <f>1/7.5235</f>
        <v>0.1329168605037549</v>
      </c>
      <c r="CF13" s="241">
        <f>1/7.5235</f>
        <v>0.1329168605037549</v>
      </c>
      <c r="CG13" s="241">
        <f>1/CG12</f>
        <v>0.13352204448954522</v>
      </c>
      <c r="CH13" s="241">
        <f>1/CH12</f>
        <v>0.13417955908596885</v>
      </c>
      <c r="CI13" s="241">
        <v>0.1289</v>
      </c>
    </row>
    <row r="14" spans="2:87" ht="19.5" customHeight="1" hidden="1">
      <c r="B14" s="211" t="s">
        <v>32</v>
      </c>
      <c r="C14" s="212"/>
      <c r="D14" s="212"/>
      <c r="E14" s="212"/>
      <c r="F14" s="237"/>
      <c r="G14" s="237"/>
      <c r="H14" s="237"/>
      <c r="I14" s="214"/>
      <c r="J14" s="214"/>
      <c r="K14" s="214"/>
      <c r="L14" s="214"/>
      <c r="M14" s="215"/>
      <c r="N14" s="214"/>
      <c r="O14" s="216"/>
      <c r="P14" s="217"/>
      <c r="Q14" s="214"/>
      <c r="R14" s="217"/>
      <c r="S14" s="217"/>
      <c r="T14" s="214"/>
      <c r="U14" s="214"/>
      <c r="V14" s="214"/>
      <c r="W14" s="214"/>
      <c r="X14" s="214"/>
      <c r="Y14" s="214"/>
      <c r="Z14" s="214"/>
      <c r="AA14" s="214"/>
      <c r="AB14" s="214"/>
      <c r="AC14" s="214"/>
      <c r="AD14" s="214"/>
      <c r="AE14" s="214"/>
      <c r="AF14" s="214"/>
      <c r="AG14" s="214"/>
      <c r="AH14" s="214"/>
      <c r="AI14" s="214"/>
      <c r="AJ14" s="214"/>
      <c r="AK14" s="214"/>
      <c r="AL14" s="214"/>
      <c r="AM14" s="214"/>
      <c r="AN14" s="214"/>
      <c r="AO14" s="214"/>
      <c r="AP14" s="214"/>
      <c r="AQ14" s="214"/>
      <c r="AR14" s="214"/>
      <c r="AS14" s="214"/>
      <c r="AT14" s="214"/>
      <c r="AU14" s="214"/>
      <c r="AV14" s="214"/>
      <c r="AW14" s="214"/>
      <c r="AX14" s="214"/>
      <c r="AY14" s="214"/>
      <c r="AZ14" s="214"/>
      <c r="BA14" s="214"/>
      <c r="BB14" s="235"/>
      <c r="BC14" s="235"/>
      <c r="BD14" s="235"/>
      <c r="BE14" s="235"/>
      <c r="BF14" s="235"/>
      <c r="BG14" s="235"/>
      <c r="BH14" s="235"/>
      <c r="BI14" s="235"/>
      <c r="BJ14" s="235"/>
      <c r="BK14" s="235"/>
      <c r="BL14" s="235"/>
      <c r="BM14" s="235"/>
      <c r="BN14" s="235"/>
      <c r="BO14" s="235"/>
      <c r="BP14" s="235"/>
      <c r="BQ14" s="235"/>
      <c r="BR14" s="235"/>
      <c r="BS14" s="235"/>
      <c r="BT14" s="235"/>
      <c r="BU14" s="240"/>
      <c r="BV14" s="240"/>
      <c r="BW14" s="241"/>
      <c r="BX14" s="241"/>
      <c r="BY14" s="241"/>
      <c r="BZ14" s="241"/>
      <c r="CA14" s="241"/>
      <c r="CB14" s="241"/>
      <c r="CC14" s="241"/>
      <c r="CD14" s="241"/>
      <c r="CE14" s="241"/>
      <c r="CF14" s="241"/>
      <c r="CG14" s="241"/>
      <c r="CH14" s="241"/>
      <c r="CI14" s="241"/>
    </row>
    <row r="15" spans="2:87" ht="19.5" customHeight="1">
      <c r="B15" s="211" t="s">
        <v>33</v>
      </c>
      <c r="C15" s="242"/>
      <c r="D15" s="242">
        <f>1/12.7437</f>
        <v>0.07847014603294176</v>
      </c>
      <c r="E15" s="242">
        <f>1/12.124</f>
        <v>0.08248102936324644</v>
      </c>
      <c r="F15" s="243">
        <f>1/12.4393</f>
        <v>0.08039037566422548</v>
      </c>
      <c r="G15" s="243">
        <f>1/13.1219</f>
        <v>0.07620847590669035</v>
      </c>
      <c r="H15" s="243">
        <f>1/12.26</f>
        <v>0.08156606851549755</v>
      </c>
      <c r="I15" s="243">
        <f>1/11.7868</f>
        <v>0.08484066922319884</v>
      </c>
      <c r="J15" s="243">
        <f>1/11.702</f>
        <v>0.08545547769612032</v>
      </c>
      <c r="K15" s="243">
        <f>1/11.6744</f>
        <v>0.08565750702391557</v>
      </c>
      <c r="L15" s="243">
        <f>1/11.3692</f>
        <v>0.08795693628399535</v>
      </c>
      <c r="M15" s="243">
        <f>1/11.3073</f>
        <v>0.08843844242215207</v>
      </c>
      <c r="N15" s="243">
        <f>1/12.5935</f>
        <v>0.07940604279985707</v>
      </c>
      <c r="O15" s="244">
        <f>1/12.6411</f>
        <v>0.07910703973546607</v>
      </c>
      <c r="P15" s="243">
        <f>1/12.1204</f>
        <v>0.08250552787036732</v>
      </c>
      <c r="Q15" s="243">
        <f>1/11.8224</f>
        <v>0.08458519420760591</v>
      </c>
      <c r="R15" s="243">
        <f>1/12.1262</f>
        <v>0.08246606521416437</v>
      </c>
      <c r="S15" s="243">
        <f>1/11.7619</f>
        <v>0.08502027733614466</v>
      </c>
      <c r="T15" s="243">
        <f>1/11.2923</f>
        <v>0.08855591863482197</v>
      </c>
      <c r="U15" s="243">
        <f>1/11.7446</f>
        <v>0.08514551368288405</v>
      </c>
      <c r="V15" s="243">
        <f>1/11.736</f>
        <v>0.08520790729379686</v>
      </c>
      <c r="W15" s="243">
        <f>1/11.5461</f>
        <v>0.08660933128935312</v>
      </c>
      <c r="X15" s="243">
        <f>1/11.2483</f>
        <v>0.08890232301770044</v>
      </c>
      <c r="Y15" s="243">
        <f>1/11.601</f>
        <v>0.0861994655633135</v>
      </c>
      <c r="Z15" s="243">
        <f>1/11.2168</f>
        <v>0.08915198630625491</v>
      </c>
      <c r="AA15" s="243">
        <f>1/11.3535</f>
        <v>0.08807856608094419</v>
      </c>
      <c r="AB15" s="243">
        <f>1/11.8847</f>
        <v>0.08414179575420498</v>
      </c>
      <c r="AC15" s="243">
        <f>1/11.6567</f>
        <v>0.08578757281220242</v>
      </c>
      <c r="AD15" s="243">
        <f>1/11.7446</f>
        <v>0.08514551368288405</v>
      </c>
      <c r="AE15" s="243">
        <f>1/12.282</f>
        <v>0.08141996417521576</v>
      </c>
      <c r="AF15" s="243">
        <f>1/11.7407</f>
        <v>0.08517379713304998</v>
      </c>
      <c r="AG15" s="243">
        <f>1/11.5992</f>
        <v>0.0862128422649838</v>
      </c>
      <c r="AH15" s="243">
        <f>1/11.4978</f>
        <v>0.08697316008279846</v>
      </c>
      <c r="AI15" s="243">
        <f>1/11.5989</f>
        <v>0.08621507211890782</v>
      </c>
      <c r="AJ15" s="243">
        <f>1/11.2213</f>
        <v>0.08911623430440324</v>
      </c>
      <c r="AK15" s="243">
        <f>1/11.1059</f>
        <v>0.0900422298057789</v>
      </c>
      <c r="AL15" s="243">
        <f>1/10.7529</f>
        <v>0.09299816793609166</v>
      </c>
      <c r="AM15" s="243">
        <f>1/10.6948</f>
        <v>0.09350338482253057</v>
      </c>
      <c r="AN15" s="243">
        <f>1/10.907</f>
        <v>0.09168423947923351</v>
      </c>
      <c r="AO15" s="243">
        <f>1/10.7206</f>
        <v>0.09327836128574894</v>
      </c>
      <c r="AP15" s="243">
        <f>1/11.806</f>
        <v>0.08470269354565475</v>
      </c>
      <c r="AQ15" s="243">
        <f>1/12.8291</f>
        <v>0.07794779056987629</v>
      </c>
      <c r="AR15" s="243">
        <f>1/13.0643</f>
        <v>0.07654447616787735</v>
      </c>
      <c r="AS15" s="243">
        <f>1/13.1608</f>
        <v>0.07598322290438271</v>
      </c>
      <c r="AT15" s="243">
        <f>1/13.9706</f>
        <v>0.07157888709146351</v>
      </c>
      <c r="AU15" s="243">
        <f>1/14.3415</f>
        <v>0.069727713279643</v>
      </c>
      <c r="AV15" s="243">
        <f>1/13.8728</f>
        <v>0.07208350152817024</v>
      </c>
      <c r="AW15" s="243">
        <f>1/13.8362</f>
        <v>0.07227417932669375</v>
      </c>
      <c r="AX15" s="243">
        <f>1/14.0828</f>
        <v>0.07100860624307666</v>
      </c>
      <c r="AY15" s="243">
        <f>1/14.0398</f>
        <v>0.07122608584167865</v>
      </c>
      <c r="AZ15" s="243">
        <f>1/14.3044</f>
        <v>0.06990855960403793</v>
      </c>
      <c r="BA15" s="243">
        <f>1/14.1669</f>
        <v>0.07058707268350874</v>
      </c>
      <c r="BB15" s="245">
        <f>1/13.9229</f>
        <v>0.07182411710204052</v>
      </c>
      <c r="BC15" s="245">
        <f>1/14.2416</f>
        <v>0.07021682956971127</v>
      </c>
      <c r="BD15" s="245">
        <f>1/14.1833</f>
        <v>0.07050545359683572</v>
      </c>
      <c r="BE15" s="245">
        <f>1/14.525</f>
        <v>0.06884681583476764</v>
      </c>
      <c r="BF15" s="245">
        <f>1/14.3767</f>
        <v>0.06955699152100274</v>
      </c>
      <c r="BG15" s="245">
        <f>1/13.8408</f>
        <v>0.0722501589503497</v>
      </c>
      <c r="BH15" s="245">
        <f>1/13.8896</f>
        <v>0.07199631378873401</v>
      </c>
      <c r="BI15" s="245">
        <f>1/13.8016</f>
        <v>0.07245536749362393</v>
      </c>
      <c r="BJ15" s="245">
        <f>1/13.7527</f>
        <v>0.0727129945392541</v>
      </c>
      <c r="BK15" s="245">
        <f>1/15.0048</f>
        <v>0.06664534015781617</v>
      </c>
      <c r="BL15" s="245">
        <f>1/15.9805</f>
        <v>0.06257626482275273</v>
      </c>
      <c r="BM15" s="245">
        <f>1/15.4224</f>
        <v>0.06484075111526091</v>
      </c>
      <c r="BN15" s="245">
        <f>1/14.97</f>
        <v>0.0668002672010688</v>
      </c>
      <c r="BO15" s="245">
        <f>1/15.5595</f>
        <v>0.06426941739773129</v>
      </c>
      <c r="BP15" s="245">
        <f>1/15.1886</f>
        <v>0.0658388528238284</v>
      </c>
      <c r="BQ15" s="245">
        <f>1/14.4731</f>
        <v>0.06909369796380872</v>
      </c>
      <c r="BR15" s="245">
        <f>1/14.4452</f>
        <v>0.06922714811840612</v>
      </c>
      <c r="BS15" s="245">
        <f>1/16.3843</f>
        <v>0.06103403868337372</v>
      </c>
      <c r="BT15" s="245">
        <f>1/15.5129</f>
        <v>0.06446247961374083</v>
      </c>
      <c r="BU15" s="240">
        <f>1/14.8107</f>
        <v>0.06751875333373844</v>
      </c>
      <c r="BV15" s="240">
        <f>1/14.2861</f>
        <v>0.06999811005102863</v>
      </c>
      <c r="BW15" s="241">
        <f>1/14.4064</f>
        <v>0.06941359395824079</v>
      </c>
      <c r="BX15" s="241">
        <f>1/14.2015</f>
        <v>0.07041509699679611</v>
      </c>
      <c r="BY15" s="241">
        <f>1/13.2668</f>
        <v>0.07537612687309675</v>
      </c>
      <c r="BZ15" s="241">
        <f>1/12.91</f>
        <v>0.07745933384972889</v>
      </c>
      <c r="CA15" s="241">
        <v>0.07586274911430241</v>
      </c>
      <c r="CB15" s="241">
        <f>1/13.0024</f>
        <v>0.07690887836091799</v>
      </c>
      <c r="CC15" s="241">
        <f>1/13.1249</f>
        <v>0.07619105669376529</v>
      </c>
      <c r="CD15" s="241">
        <f>1/12.2854</f>
        <v>0.08139743109707458</v>
      </c>
      <c r="CE15" s="241">
        <f>1/12.2854</f>
        <v>0.08139743109707458</v>
      </c>
      <c r="CF15" s="241">
        <f>1/12.45388</f>
        <v>0.08029626108489885</v>
      </c>
      <c r="CG15" s="241">
        <f>1/12.1653</f>
        <v>0.0822010143605172</v>
      </c>
      <c r="CH15" s="241">
        <f>1/12.0599</f>
        <v>0.08291942719259694</v>
      </c>
      <c r="CI15" s="241">
        <v>0.0834</v>
      </c>
    </row>
    <row r="16" spans="2:87" ht="19.5" customHeight="1">
      <c r="B16" s="211" t="s">
        <v>34</v>
      </c>
      <c r="C16" s="242"/>
      <c r="D16" s="242">
        <f>1/0.0679</f>
        <v>14.727540500736376</v>
      </c>
      <c r="E16" s="242">
        <f>1/0.0642</f>
        <v>15.576323987538942</v>
      </c>
      <c r="F16" s="243">
        <f>1/0.0654</f>
        <v>15.290519877675841</v>
      </c>
      <c r="G16" s="243">
        <f>1/0.0668</f>
        <v>14.970059880239521</v>
      </c>
      <c r="H16" s="243">
        <f>1/0.0636</f>
        <v>15.723270440251572</v>
      </c>
      <c r="I16" s="243">
        <f>1/0.0622</f>
        <v>16.077170418006432</v>
      </c>
      <c r="J16" s="243">
        <f>1/0.0636</f>
        <v>15.723270440251572</v>
      </c>
      <c r="K16" s="243">
        <f>1/0.0636</f>
        <v>15.723270440251572</v>
      </c>
      <c r="L16" s="243">
        <f>1/0.0616</f>
        <v>16.233766233766232</v>
      </c>
      <c r="M16" s="243">
        <f>1/0.0604</f>
        <v>16.556291390728475</v>
      </c>
      <c r="N16" s="243">
        <f>1/0.065</f>
        <v>15.384615384615383</v>
      </c>
      <c r="O16" s="244">
        <f>1/0.0695</f>
        <v>14.388489208633093</v>
      </c>
      <c r="P16" s="243">
        <f>1/0.0611</f>
        <v>16.366612111292962</v>
      </c>
      <c r="Q16" s="243">
        <f>1/0.061</f>
        <v>16.39344262295082</v>
      </c>
      <c r="R16" s="243">
        <f>1/0.0606</f>
        <v>16.5016501650165</v>
      </c>
      <c r="S16" s="243">
        <f>1/0.0588</f>
        <v>17.006802721088437</v>
      </c>
      <c r="T16" s="243">
        <f>1/0.0561</f>
        <v>17.825311942959004</v>
      </c>
      <c r="U16" s="243">
        <f>1/0.0505</f>
        <v>19.801980198019802</v>
      </c>
      <c r="V16" s="243">
        <f>1/0.0595</f>
        <v>16.80672268907563</v>
      </c>
      <c r="W16" s="243">
        <f>1/0.0587</f>
        <v>17.035775127768314</v>
      </c>
      <c r="X16" s="243">
        <f>1/0.0578</f>
        <v>17.301038062283737</v>
      </c>
      <c r="Y16" s="243">
        <f>1/0.052</f>
        <v>19.23076923076923</v>
      </c>
      <c r="Z16" s="243">
        <f>1/0.0578</f>
        <v>17.301038062283737</v>
      </c>
      <c r="AA16" s="243">
        <f>1/0.0574</f>
        <v>17.421602787456447</v>
      </c>
      <c r="AB16" s="243">
        <f>1/0.0572</f>
        <v>17.482517482517483</v>
      </c>
      <c r="AC16" s="243">
        <f>1/0.0572</f>
        <v>17.482517482517483</v>
      </c>
      <c r="AD16" s="243">
        <f>1/0.0594</f>
        <v>16.835016835016834</v>
      </c>
      <c r="AE16" s="243">
        <f>1/0.0621</f>
        <v>16.10305958132045</v>
      </c>
      <c r="AF16" s="243">
        <f>1/0.0599</f>
        <v>16.69449081803005</v>
      </c>
      <c r="AG16" s="243">
        <f>1/0.0585</f>
        <v>17.094017094017094</v>
      </c>
      <c r="AH16" s="243">
        <f>1/0.0573</f>
        <v>17.452006980802793</v>
      </c>
      <c r="AI16" s="243">
        <f>1/0.0573</f>
        <v>17.452006980802793</v>
      </c>
      <c r="AJ16" s="243">
        <f>1/0.0545</f>
        <v>18.34862385321101</v>
      </c>
      <c r="AK16" s="243">
        <f>1/0.0536</f>
        <v>18.65671641791045</v>
      </c>
      <c r="AL16" s="243">
        <f>1/0.0528</f>
        <v>18.93939393939394</v>
      </c>
      <c r="AM16" s="243">
        <f>1/0.0519</f>
        <v>19.267822736030826</v>
      </c>
      <c r="AN16" s="243">
        <f>1/0.0533</f>
        <v>18.76172607879925</v>
      </c>
      <c r="AO16" s="243">
        <f>1/0.0518</f>
        <v>19.305019305019304</v>
      </c>
      <c r="AP16" s="243">
        <f>1/0.0566</f>
        <v>17.6678445229682</v>
      </c>
      <c r="AQ16" s="243">
        <f>1/0.0607</f>
        <v>16.474464579901156</v>
      </c>
      <c r="AR16" s="243">
        <f>1/0.0613</f>
        <v>16.31321370309951</v>
      </c>
      <c r="AS16" s="243">
        <f>1/0.06</f>
        <v>16.666666666666668</v>
      </c>
      <c r="AT16" s="243">
        <f>1/0.0633</f>
        <v>15.797788309636653</v>
      </c>
      <c r="AU16" s="243">
        <f>1/0.0645</f>
        <v>15.503875968992247</v>
      </c>
      <c r="AV16" s="243">
        <f>1/0.0619</f>
        <v>16.155088852988694</v>
      </c>
      <c r="AW16" s="243">
        <f>1/0.0601</f>
        <v>16.638935108153078</v>
      </c>
      <c r="AX16" s="243">
        <f>1/0.0597</f>
        <v>16.75041876046901</v>
      </c>
      <c r="AY16" s="243">
        <f>1/0.0595</f>
        <v>16.80672268907563</v>
      </c>
      <c r="AZ16" s="243">
        <f>1/0.0627</f>
        <v>15.948963317384369</v>
      </c>
      <c r="BA16" s="243">
        <f>1/0.06</f>
        <v>16.666666666666668</v>
      </c>
      <c r="BB16" s="245">
        <f>1/0.0581</f>
        <v>17.21170395869191</v>
      </c>
      <c r="BC16" s="245">
        <f>1/0.0585</f>
        <v>17.094017094017094</v>
      </c>
      <c r="BD16" s="245">
        <f>1/0.0574</f>
        <v>17.421602787456447</v>
      </c>
      <c r="BE16" s="245">
        <f>1/0.062</f>
        <v>16.129032258064516</v>
      </c>
      <c r="BF16" s="245">
        <f>1/0.062</f>
        <v>16.129032258064516</v>
      </c>
      <c r="BG16" s="245">
        <f>1/0.0585</f>
        <v>17.094017094017094</v>
      </c>
      <c r="BH16" s="245">
        <f>1/0.0603</f>
        <v>16.58374792703151</v>
      </c>
      <c r="BI16" s="245">
        <f>1/0.0609</f>
        <v>16.420361247947454</v>
      </c>
      <c r="BJ16" s="245">
        <f>1/0.0647</f>
        <v>15.45595054095827</v>
      </c>
      <c r="BK16" s="245">
        <f>1/0.0713</f>
        <v>14.025245441795231</v>
      </c>
      <c r="BL16" s="245">
        <f>1/0.0791</f>
        <v>12.642225031605562</v>
      </c>
      <c r="BM16" s="245">
        <f>1/0.0761</f>
        <v>13.140604467805518</v>
      </c>
      <c r="BN16" s="245">
        <f>1/0.0732</f>
        <v>13.66120218579235</v>
      </c>
      <c r="BO16" s="245">
        <f>1/0.0742</f>
        <v>13.477088948787062</v>
      </c>
      <c r="BP16" s="245">
        <f>1/0.0716</f>
        <v>13.966480446927374</v>
      </c>
      <c r="BQ16" s="245">
        <f>1/0.0701</f>
        <v>14.265335235378032</v>
      </c>
      <c r="BR16" s="245">
        <f>1/0.0754</f>
        <v>13.262599469496022</v>
      </c>
      <c r="BS16" s="245">
        <f>1/0.0964</f>
        <v>10.37344398340249</v>
      </c>
      <c r="BT16" s="245">
        <f>1/0.1044</f>
        <v>9.578544061302681</v>
      </c>
      <c r="BU16" s="240">
        <f>1/0.1091</f>
        <v>9.165902841429881</v>
      </c>
      <c r="BV16" s="240">
        <f>1/0.1095</f>
        <v>9.132420091324201</v>
      </c>
      <c r="BW16" s="241">
        <f>1/0.1083</f>
        <v>9.233610341643583</v>
      </c>
      <c r="BX16" s="241">
        <f>1/0.1023</f>
        <v>9.775171065493646</v>
      </c>
      <c r="BY16" s="241">
        <f>1/0.0913</f>
        <v>10.952902519167578</v>
      </c>
      <c r="BZ16" s="241">
        <f>1/0.0866</f>
        <v>11.547344110854503</v>
      </c>
      <c r="CA16" s="241">
        <v>11.990407673860911</v>
      </c>
      <c r="CB16" s="241">
        <f>1/0.0841</f>
        <v>11.890606420927469</v>
      </c>
      <c r="CC16" s="241">
        <f>1/0.0838</f>
        <v>11.933174224343675</v>
      </c>
      <c r="CD16" s="241">
        <f>1/0.0823</f>
        <v>12.150668286755772</v>
      </c>
      <c r="CE16" s="241">
        <f>1/0.0823</f>
        <v>12.150668286755772</v>
      </c>
      <c r="CF16" s="241">
        <v>11.8811</v>
      </c>
      <c r="CG16" s="241">
        <v>11.976</v>
      </c>
      <c r="CH16" s="241">
        <v>12.2549</v>
      </c>
      <c r="CI16" s="241">
        <v>11.7786</v>
      </c>
    </row>
    <row r="17" spans="2:87" ht="19.5" customHeight="1" hidden="1">
      <c r="B17" s="211" t="s">
        <v>34</v>
      </c>
      <c r="C17" s="246"/>
      <c r="D17" s="246"/>
      <c r="E17" s="246"/>
      <c r="F17" s="214"/>
      <c r="G17" s="214"/>
      <c r="H17" s="214"/>
      <c r="I17" s="214"/>
      <c r="J17" s="214"/>
      <c r="K17" s="214"/>
      <c r="L17" s="214"/>
      <c r="M17" s="214"/>
      <c r="N17" s="214"/>
      <c r="O17" s="216"/>
      <c r="P17" s="217"/>
      <c r="Q17" s="214"/>
      <c r="R17" s="217"/>
      <c r="S17" s="217"/>
      <c r="T17" s="217"/>
      <c r="U17" s="217"/>
      <c r="V17" s="217"/>
      <c r="W17" s="217"/>
      <c r="X17" s="217"/>
      <c r="Y17" s="214"/>
      <c r="Z17" s="214"/>
      <c r="AA17" s="214"/>
      <c r="AB17" s="214"/>
      <c r="AC17" s="214"/>
      <c r="AD17" s="214"/>
      <c r="AE17" s="214"/>
      <c r="AF17" s="214"/>
      <c r="AG17" s="214"/>
      <c r="AH17" s="214"/>
      <c r="AI17" s="214"/>
      <c r="AJ17" s="214"/>
      <c r="AK17" s="214"/>
      <c r="AL17" s="214"/>
      <c r="AM17" s="214"/>
      <c r="AN17" s="214"/>
      <c r="AO17" s="214"/>
      <c r="AP17" s="214"/>
      <c r="AQ17" s="214"/>
      <c r="AR17" s="214"/>
      <c r="AS17" s="214"/>
      <c r="AT17" s="214"/>
      <c r="AU17" s="214"/>
      <c r="AV17" s="214"/>
      <c r="AW17" s="214"/>
      <c r="AX17" s="214"/>
      <c r="AY17" s="214"/>
      <c r="AZ17" s="214"/>
      <c r="BA17" s="214"/>
      <c r="BB17" s="214"/>
      <c r="BC17" s="214"/>
      <c r="BD17" s="214"/>
      <c r="BE17" s="214"/>
      <c r="BF17" s="214"/>
      <c r="BG17" s="214"/>
      <c r="BH17" s="214"/>
      <c r="BI17" s="214"/>
      <c r="BJ17" s="214"/>
      <c r="BK17" s="214"/>
      <c r="BL17" s="214"/>
      <c r="BM17" s="214"/>
      <c r="BN17" s="214"/>
      <c r="BO17" s="245">
        <f>1/0.0742</f>
        <v>13.477088948787062</v>
      </c>
      <c r="BP17" s="245">
        <f>1/0.0716</f>
        <v>13.966480446927374</v>
      </c>
      <c r="BQ17" s="245">
        <f>1/0.0701</f>
        <v>14.265335235378032</v>
      </c>
      <c r="BR17" s="245">
        <f>1/0.0754</f>
        <v>13.262599469496022</v>
      </c>
      <c r="BS17" s="245">
        <f>1/0.0964</f>
        <v>10.37344398340249</v>
      </c>
      <c r="BT17" s="245">
        <f>1/0.1044</f>
        <v>9.578544061302681</v>
      </c>
      <c r="BU17" s="240">
        <f>1/0.1091</f>
        <v>9.165902841429881</v>
      </c>
      <c r="BV17" s="240">
        <f>1/0.1095</f>
        <v>9.132420091324201</v>
      </c>
      <c r="BW17" s="241">
        <f>1/0.1083</f>
        <v>9.233610341643583</v>
      </c>
      <c r="BX17" s="241">
        <f>1/0.1023</f>
        <v>9.775171065493646</v>
      </c>
      <c r="BY17" s="241">
        <f>1/0.0913</f>
        <v>10.952902519167578</v>
      </c>
      <c r="BZ17" s="241">
        <f>1/0.0866</f>
        <v>11.547344110854503</v>
      </c>
      <c r="CA17" s="241">
        <v>12.9904076738609</v>
      </c>
      <c r="CB17" s="241">
        <f>1/0.0841</f>
        <v>11.890606420927469</v>
      </c>
      <c r="CC17" s="241"/>
      <c r="CD17" s="241"/>
      <c r="CE17" s="241"/>
      <c r="CF17" s="241"/>
      <c r="CG17" s="241"/>
      <c r="CH17" s="241"/>
      <c r="CI17" s="241"/>
    </row>
    <row r="18" spans="2:87" ht="19.5" customHeight="1">
      <c r="B18" s="247" t="s">
        <v>155</v>
      </c>
      <c r="C18" s="248"/>
      <c r="D18" s="248"/>
      <c r="E18" s="249"/>
      <c r="F18" s="250"/>
      <c r="G18" s="250"/>
      <c r="H18" s="250"/>
      <c r="I18" s="251"/>
      <c r="J18" s="251"/>
      <c r="K18" s="250"/>
      <c r="L18" s="250"/>
      <c r="M18" s="252"/>
      <c r="N18" s="251"/>
      <c r="O18" s="252"/>
      <c r="P18" s="253"/>
      <c r="Q18" s="250"/>
      <c r="R18" s="253"/>
      <c r="S18" s="253"/>
      <c r="T18" s="254"/>
      <c r="U18" s="253"/>
      <c r="V18" s="253"/>
      <c r="W18" s="253"/>
      <c r="X18" s="253"/>
      <c r="Y18" s="253"/>
      <c r="Z18" s="253"/>
      <c r="AA18" s="253"/>
      <c r="AB18" s="253"/>
      <c r="AC18" s="253"/>
      <c r="AD18" s="253"/>
      <c r="AE18" s="253"/>
      <c r="AF18" s="253"/>
      <c r="AG18" s="253"/>
      <c r="AH18" s="253"/>
      <c r="AI18" s="253"/>
      <c r="AJ18" s="253"/>
      <c r="AK18" s="253"/>
      <c r="AL18" s="253"/>
      <c r="AM18" s="253"/>
      <c r="AN18" s="253"/>
      <c r="AO18" s="253"/>
      <c r="AP18" s="253"/>
      <c r="AQ18" s="253"/>
      <c r="AR18" s="253"/>
      <c r="AS18" s="253"/>
      <c r="AT18" s="253"/>
      <c r="AU18" s="253"/>
      <c r="AV18" s="253"/>
      <c r="AW18" s="253"/>
      <c r="AX18" s="253"/>
      <c r="AY18" s="253"/>
      <c r="AZ18" s="253"/>
      <c r="BA18" s="253"/>
      <c r="BB18" s="253"/>
      <c r="BC18" s="253"/>
      <c r="BD18" s="253"/>
      <c r="BE18" s="253"/>
      <c r="BF18" s="253"/>
      <c r="BG18" s="253"/>
      <c r="BH18" s="253"/>
      <c r="BI18" s="253"/>
      <c r="BJ18" s="253"/>
      <c r="BK18" s="253"/>
      <c r="BL18" s="253"/>
      <c r="BM18" s="253"/>
      <c r="BN18" s="253"/>
      <c r="BO18" s="245"/>
      <c r="BP18" s="245">
        <f>1/12.0494</f>
        <v>0.08299168423323983</v>
      </c>
      <c r="BQ18" s="245">
        <f>1/11.4757</f>
        <v>0.08714065372918428</v>
      </c>
      <c r="BR18" s="245">
        <f>1/11.5514</f>
        <v>0.0865695932960507</v>
      </c>
      <c r="BS18" s="245">
        <f>1/12.9051</f>
        <v>0.07748874475982365</v>
      </c>
      <c r="BT18" s="245">
        <f>1/12.881</f>
        <v>0.07763372408974459</v>
      </c>
      <c r="BU18" s="240">
        <f>1/13.3723</f>
        <v>0.07478145120884216</v>
      </c>
      <c r="BV18" s="240">
        <f>1/13.13</f>
        <v>0.07616146230007616</v>
      </c>
      <c r="BW18" s="241">
        <f>1/12.8058</f>
        <v>0.07808961564291181</v>
      </c>
      <c r="BX18" s="241">
        <f>1/13.0511</f>
        <v>0.07662189393997441</v>
      </c>
      <c r="BY18" s="241">
        <f>1/11.9135</f>
        <v>0.08393838922231082</v>
      </c>
      <c r="BZ18" s="241">
        <f>1/11.4253</f>
        <v>0.08752505404672087</v>
      </c>
      <c r="CA18" s="241">
        <f>1/11.2957</f>
        <v>0.08852926334799968</v>
      </c>
      <c r="CB18" s="241">
        <f>1/11.1974</f>
        <v>0.08930644613928233</v>
      </c>
      <c r="CC18" s="241">
        <f>1/11.3256</f>
        <v>0.08829554284099739</v>
      </c>
      <c r="CD18" s="241">
        <f>1/10.9465</f>
        <v>0.09135340063033846</v>
      </c>
      <c r="CE18" s="241">
        <f>1/10.9465</f>
        <v>0.09135340063033846</v>
      </c>
      <c r="CF18" s="241">
        <f>1/11.19337</f>
        <v>0.08933859954598124</v>
      </c>
      <c r="CG18" s="241">
        <v>0.0914</v>
      </c>
      <c r="CH18" s="241">
        <v>0.0939</v>
      </c>
      <c r="CI18" s="241">
        <v>0.0953</v>
      </c>
    </row>
    <row r="19" spans="2:87" ht="19.5" customHeight="1">
      <c r="B19" s="255" t="s">
        <v>36</v>
      </c>
      <c r="C19" s="248"/>
      <c r="D19" s="248"/>
      <c r="E19" s="256"/>
      <c r="F19" s="250"/>
      <c r="G19" s="250"/>
      <c r="H19" s="250"/>
      <c r="I19" s="253"/>
      <c r="J19" s="253"/>
      <c r="K19" s="250"/>
      <c r="L19" s="250"/>
      <c r="M19" s="257"/>
      <c r="N19" s="253"/>
      <c r="O19" s="252"/>
      <c r="P19" s="253"/>
      <c r="Q19" s="250"/>
      <c r="R19" s="253"/>
      <c r="S19" s="253"/>
      <c r="T19" s="254"/>
      <c r="U19" s="253"/>
      <c r="V19" s="253"/>
      <c r="W19" s="253"/>
      <c r="X19" s="253"/>
      <c r="Y19" s="253"/>
      <c r="Z19" s="253"/>
      <c r="AA19" s="253"/>
      <c r="AB19" s="253"/>
      <c r="AC19" s="253"/>
      <c r="AD19" s="253"/>
      <c r="AE19" s="253"/>
      <c r="AF19" s="253"/>
      <c r="AG19" s="253"/>
      <c r="AH19" s="253"/>
      <c r="AI19" s="253"/>
      <c r="AJ19" s="253"/>
      <c r="AK19" s="253"/>
      <c r="AL19" s="253"/>
      <c r="AM19" s="253"/>
      <c r="AN19" s="253"/>
      <c r="AO19" s="253"/>
      <c r="AP19" s="253"/>
      <c r="AQ19" s="253"/>
      <c r="AR19" s="253"/>
      <c r="AS19" s="253"/>
      <c r="AT19" s="253"/>
      <c r="AU19" s="253"/>
      <c r="AV19" s="253"/>
      <c r="AW19" s="253"/>
      <c r="AX19" s="253"/>
      <c r="AY19" s="253"/>
      <c r="AZ19" s="253"/>
      <c r="BA19" s="253"/>
      <c r="BB19" s="253"/>
      <c r="BC19" s="253"/>
      <c r="BD19" s="253"/>
      <c r="BE19" s="253"/>
      <c r="BF19" s="253"/>
      <c r="BG19" s="253"/>
      <c r="BH19" s="253"/>
      <c r="BI19" s="253"/>
      <c r="BJ19" s="253"/>
      <c r="BK19" s="253"/>
      <c r="BL19" s="253"/>
      <c r="BM19" s="253"/>
      <c r="BN19" s="253"/>
      <c r="BO19" s="253"/>
      <c r="BP19" s="253"/>
      <c r="BQ19" s="253"/>
      <c r="BR19" s="253"/>
      <c r="BS19" s="253"/>
      <c r="BT19" s="253"/>
      <c r="BU19" s="258"/>
      <c r="BV19" s="258"/>
      <c r="BW19" s="258"/>
      <c r="BX19" s="258"/>
      <c r="BY19" s="258"/>
      <c r="BZ19" s="258"/>
      <c r="CA19" s="258"/>
      <c r="CB19" s="258"/>
      <c r="CC19" s="258"/>
      <c r="CD19" s="258"/>
      <c r="CE19" s="258"/>
      <c r="CF19" s="258"/>
      <c r="CG19" s="258"/>
      <c r="CH19" s="258"/>
      <c r="CI19" s="258"/>
    </row>
    <row r="20" spans="2:87" ht="19.5" customHeight="1" thickBot="1">
      <c r="B20" s="259" t="s">
        <v>35</v>
      </c>
      <c r="C20" s="260"/>
      <c r="D20" s="260"/>
      <c r="E20" s="261"/>
      <c r="F20" s="262"/>
      <c r="G20" s="262"/>
      <c r="H20" s="262"/>
      <c r="I20" s="263"/>
      <c r="J20" s="263"/>
      <c r="K20" s="262"/>
      <c r="L20" s="262"/>
      <c r="M20" s="264"/>
      <c r="N20" s="263"/>
      <c r="O20" s="265"/>
      <c r="P20" s="263"/>
      <c r="Q20" s="262"/>
      <c r="R20" s="263"/>
      <c r="S20" s="263"/>
      <c r="T20" s="266"/>
      <c r="U20" s="263"/>
      <c r="V20" s="263"/>
      <c r="W20" s="263"/>
      <c r="X20" s="263"/>
      <c r="Y20" s="263"/>
      <c r="Z20" s="263"/>
      <c r="AA20" s="263"/>
      <c r="AB20" s="263"/>
      <c r="AC20" s="263"/>
      <c r="AD20" s="263"/>
      <c r="AE20" s="263"/>
      <c r="AF20" s="263"/>
      <c r="AG20" s="263"/>
      <c r="AH20" s="263"/>
      <c r="AI20" s="263"/>
      <c r="AJ20" s="263"/>
      <c r="AK20" s="263"/>
      <c r="AL20" s="263"/>
      <c r="AM20" s="263"/>
      <c r="AN20" s="263"/>
      <c r="AO20" s="263"/>
      <c r="AP20" s="263"/>
      <c r="AQ20" s="263"/>
      <c r="AR20" s="263"/>
      <c r="AS20" s="263"/>
      <c r="AT20" s="263"/>
      <c r="AU20" s="263"/>
      <c r="AV20" s="263"/>
      <c r="AW20" s="263"/>
      <c r="AX20" s="263"/>
      <c r="AY20" s="263"/>
      <c r="AZ20" s="263"/>
      <c r="BA20" s="263"/>
      <c r="BB20" s="263"/>
      <c r="BC20" s="263"/>
      <c r="BD20" s="263"/>
      <c r="BE20" s="263"/>
      <c r="BF20" s="263"/>
      <c r="BG20" s="263"/>
      <c r="BH20" s="263"/>
      <c r="BI20" s="263"/>
      <c r="BJ20" s="263"/>
      <c r="BK20" s="263"/>
      <c r="BL20" s="263"/>
      <c r="BM20" s="263"/>
      <c r="BN20" s="263"/>
      <c r="BO20" s="263"/>
      <c r="BP20" s="263"/>
      <c r="BQ20" s="263"/>
      <c r="BR20" s="263"/>
      <c r="BS20" s="263"/>
      <c r="BT20" s="263"/>
      <c r="BU20" s="263"/>
      <c r="BV20" s="263"/>
      <c r="BW20" s="263"/>
      <c r="BX20" s="263"/>
      <c r="BY20" s="263"/>
      <c r="BZ20" s="263"/>
      <c r="CA20" s="263"/>
      <c r="CB20" s="263"/>
      <c r="CC20" s="263"/>
      <c r="CD20" s="263"/>
      <c r="CE20" s="263"/>
      <c r="CF20" s="263"/>
      <c r="CG20" s="263"/>
      <c r="CH20" s="263"/>
      <c r="CI20" s="263"/>
    </row>
    <row r="21" ht="19.5" customHeight="1">
      <c r="B21" s="188" t="s">
        <v>102</v>
      </c>
    </row>
    <row r="22" spans="75:79" ht="19.5" customHeight="1">
      <c r="BW22" s="193"/>
      <c r="BX22" s="193"/>
      <c r="BY22" s="193"/>
      <c r="BZ22" s="193"/>
      <c r="CA22" s="193"/>
    </row>
  </sheetData>
  <sheetProtection/>
  <printOptions horizontalCentered="1"/>
  <pageMargins left="0.95" right="0.49" top="1" bottom="1" header="0.5" footer="0.5"/>
  <pageSetup horizontalDpi="600" verticalDpi="6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2:U69"/>
  <sheetViews>
    <sheetView showGridLines="0" zoomScale="99" zoomScaleNormal="99" zoomScaleSheetLayoutView="50" workbookViewId="0" topLeftCell="A42">
      <selection activeCell="A2" sqref="A2:M55"/>
    </sheetView>
  </sheetViews>
  <sheetFormatPr defaultColWidth="9.140625" defaultRowHeight="12"/>
  <cols>
    <col min="11" max="11" width="8.7109375" style="0" customWidth="1"/>
  </cols>
  <sheetData>
    <row r="2" spans="1:15" ht="12.75">
      <c r="A2" s="313"/>
      <c r="B2" s="313"/>
      <c r="C2" s="313"/>
      <c r="D2" s="313"/>
      <c r="E2" s="313"/>
      <c r="F2" s="313"/>
      <c r="G2" s="313"/>
      <c r="H2" s="313"/>
      <c r="I2" s="313"/>
      <c r="J2" s="313"/>
      <c r="K2" s="15"/>
      <c r="L2" s="15"/>
      <c r="M2" s="15"/>
      <c r="N2" s="15"/>
      <c r="O2" s="15"/>
    </row>
    <row r="3" spans="2:15" ht="13.5" customHeight="1">
      <c r="B3" s="13"/>
      <c r="C3" s="17"/>
      <c r="D3" s="17"/>
      <c r="E3" s="17"/>
      <c r="F3" s="17"/>
      <c r="G3" s="17"/>
      <c r="H3" s="17"/>
      <c r="I3" s="16"/>
      <c r="J3" s="16"/>
      <c r="K3" s="15"/>
      <c r="L3" s="15"/>
      <c r="M3" s="15"/>
      <c r="N3" s="15"/>
      <c r="O3" s="15"/>
    </row>
    <row r="4" spans="1:15" ht="15.75">
      <c r="A4" s="308" t="s">
        <v>167</v>
      </c>
      <c r="B4" s="308"/>
      <c r="C4" s="308"/>
      <c r="D4" s="308"/>
      <c r="E4" s="308"/>
      <c r="F4" s="308"/>
      <c r="G4" s="308"/>
      <c r="H4" s="308"/>
      <c r="I4" s="308"/>
      <c r="J4" s="308"/>
      <c r="K4" s="18"/>
      <c r="L4" s="15"/>
      <c r="M4" s="15"/>
      <c r="N4" s="15"/>
      <c r="O4" s="15"/>
    </row>
    <row r="5" spans="1:15" ht="12.75">
      <c r="A5" s="19"/>
      <c r="B5" s="20"/>
      <c r="C5" s="20"/>
      <c r="D5" s="20"/>
      <c r="E5" s="20"/>
      <c r="F5" s="20"/>
      <c r="G5" s="20"/>
      <c r="H5" s="20"/>
      <c r="I5" s="20"/>
      <c r="J5" s="20"/>
      <c r="K5" s="18"/>
      <c r="L5" s="15"/>
      <c r="M5" s="15"/>
      <c r="N5" s="15"/>
      <c r="O5" s="15"/>
    </row>
    <row r="6" spans="1:15" ht="12.75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</row>
    <row r="7" spans="1:15" ht="12.75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</row>
    <row r="8" spans="1:15" ht="12.75">
      <c r="A8" s="15"/>
      <c r="B8" s="15"/>
      <c r="C8" s="15"/>
      <c r="D8" s="15"/>
      <c r="E8" s="15"/>
      <c r="F8" s="15"/>
      <c r="G8" s="15"/>
      <c r="H8" s="15"/>
      <c r="I8" s="15"/>
      <c r="J8" s="16"/>
      <c r="K8" s="15"/>
      <c r="L8" s="15"/>
      <c r="M8" s="15"/>
      <c r="N8" s="15"/>
      <c r="O8" s="15"/>
    </row>
    <row r="9" spans="1:15" ht="12.7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</row>
    <row r="10" spans="1:15" ht="12.75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</row>
    <row r="11" spans="1:15" ht="12.75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</row>
    <row r="12" spans="1:15" ht="12.75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</row>
    <row r="13" spans="1:15" ht="12.75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</row>
    <row r="14" spans="1:15" ht="12.75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</row>
    <row r="15" spans="1:15" ht="12.75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</row>
    <row r="16" spans="1:15" ht="12.75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</row>
    <row r="17" spans="1:15" ht="12.75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</row>
    <row r="18" spans="1:15" ht="12.75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</row>
    <row r="19" spans="1:15" ht="12.75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</row>
    <row r="20" spans="1:15" ht="12.75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</row>
    <row r="21" spans="1:15" ht="12.75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</row>
    <row r="22" spans="1:15" ht="12.75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</row>
    <row r="23" spans="1:15" ht="12.75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</row>
    <row r="24" spans="1:15" ht="12.75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</row>
    <row r="25" spans="1:15" ht="12.75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</row>
    <row r="26" spans="1:15" ht="12.75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</row>
    <row r="27" spans="1:15" ht="12.75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</row>
    <row r="28" spans="1:15" ht="12.75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</row>
    <row r="29" spans="1:15" ht="12.75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</row>
    <row r="30" spans="1:15" ht="15.75">
      <c r="A30" s="308" t="s">
        <v>168</v>
      </c>
      <c r="B30" s="308" t="s">
        <v>163</v>
      </c>
      <c r="C30" s="308"/>
      <c r="D30" s="308"/>
      <c r="E30" s="308"/>
      <c r="F30" s="308"/>
      <c r="G30" s="308"/>
      <c r="H30" s="308"/>
      <c r="I30" s="308"/>
      <c r="J30" s="308"/>
      <c r="K30" s="15"/>
      <c r="L30" s="15"/>
      <c r="M30" s="15"/>
      <c r="N30" s="15"/>
      <c r="O30" s="15"/>
    </row>
    <row r="31" spans="1:15" ht="12.75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</row>
    <row r="32" spans="1:15" ht="12.7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</row>
    <row r="33" spans="1:15" ht="12.7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</row>
    <row r="34" spans="1:15" ht="12.7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</row>
    <row r="35" spans="1:15" ht="12.7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</row>
    <row r="36" spans="1:15" ht="12.7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</row>
    <row r="37" spans="1:15" ht="12.75">
      <c r="A37" s="15"/>
      <c r="L37" s="15"/>
      <c r="M37" s="15"/>
      <c r="N37" s="15"/>
      <c r="O37" s="15"/>
    </row>
    <row r="38" spans="1:15" ht="12.7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</row>
    <row r="39" spans="11:15" ht="12.75">
      <c r="K39" s="15"/>
      <c r="L39" s="15"/>
      <c r="M39" s="15"/>
      <c r="N39" s="15"/>
      <c r="O39" s="15"/>
    </row>
    <row r="40" spans="1:15" ht="12.7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</row>
    <row r="41" spans="1:15" ht="12.7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</row>
    <row r="42" spans="11:15" ht="12.75">
      <c r="K42" s="15"/>
      <c r="L42" s="15"/>
      <c r="M42" s="15"/>
      <c r="N42" s="15"/>
      <c r="O42" s="15"/>
    </row>
    <row r="43" spans="1:15" ht="12.75">
      <c r="A43" s="15"/>
      <c r="L43" s="15"/>
      <c r="M43" s="15"/>
      <c r="N43" s="15"/>
      <c r="O43" s="15"/>
    </row>
    <row r="44" spans="1:15" ht="12.7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</row>
    <row r="45" spans="1:15" ht="12.7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</row>
    <row r="46" spans="1:15" ht="12.7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</row>
    <row r="47" spans="1:15" ht="12.7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</row>
    <row r="48" spans="1:15" ht="12.7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</row>
    <row r="49" spans="1:15" ht="12.7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</row>
    <row r="50" spans="1:15" ht="12.7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</row>
    <row r="51" spans="1:15" ht="12.75">
      <c r="A51" s="15"/>
      <c r="L51" s="15"/>
      <c r="M51" s="15"/>
      <c r="N51" s="15"/>
      <c r="O51" s="15"/>
    </row>
    <row r="52" spans="1:21" ht="20.25">
      <c r="A52" s="15"/>
      <c r="B52" s="15"/>
      <c r="C52" s="164"/>
      <c r="H52" s="15"/>
      <c r="I52" s="15"/>
      <c r="J52" s="15"/>
      <c r="K52" s="15"/>
      <c r="L52" s="15"/>
      <c r="M52" s="15"/>
      <c r="N52" s="15"/>
      <c r="O52" s="15"/>
      <c r="U52" t="s">
        <v>119</v>
      </c>
    </row>
    <row r="53" spans="1:15" ht="12.7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</row>
    <row r="54" spans="1:15" ht="12.7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</row>
    <row r="55" spans="1:15" ht="12.7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</row>
    <row r="56" spans="1:15" ht="12.7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</row>
    <row r="57" spans="11:15" ht="20.25">
      <c r="K57" s="267"/>
      <c r="L57" s="15"/>
      <c r="M57" s="15"/>
      <c r="N57" s="15"/>
      <c r="O57" s="15"/>
    </row>
    <row r="58" spans="1:15" ht="20.25">
      <c r="A58" s="15"/>
      <c r="B58" s="15"/>
      <c r="C58" s="15"/>
      <c r="D58" s="164"/>
      <c r="E58" s="164"/>
      <c r="F58" s="164"/>
      <c r="G58" s="15"/>
      <c r="H58" s="15"/>
      <c r="I58" s="15"/>
      <c r="J58" s="15"/>
      <c r="K58" s="15"/>
      <c r="L58" s="15"/>
      <c r="M58" s="15"/>
      <c r="N58" s="15"/>
      <c r="O58" s="15"/>
    </row>
    <row r="59" spans="1:15" ht="12.7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</row>
    <row r="60" spans="1:15" ht="12.7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</row>
    <row r="61" spans="1:15" ht="12.7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</row>
    <row r="62" spans="1:15" ht="12.7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</row>
    <row r="63" spans="1:15" ht="12.7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</row>
    <row r="64" spans="1:15" ht="12.7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</row>
    <row r="65" spans="1:15" ht="12.7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</row>
    <row r="66" spans="1:15" ht="12.7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</row>
    <row r="67" spans="1:15" ht="12.7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</row>
    <row r="68" spans="1:15" ht="12.7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</row>
    <row r="69" spans="1:15" ht="12.7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</row>
  </sheetData>
  <sheetProtection/>
  <mergeCells count="3">
    <mergeCell ref="A2:J2"/>
    <mergeCell ref="A4:J4"/>
    <mergeCell ref="A30:J30"/>
  </mergeCells>
  <printOptions horizontalCentered="1" verticalCentered="1"/>
  <pageMargins left="0.77" right="0.75" top="1" bottom="1" header="0.5" footer="0.5"/>
  <pageSetup fitToHeight="1" fitToWidth="1" horizontalDpi="600" verticalDpi="600" orientation="portrait" paperSize="9" scale="6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N103"/>
  <sheetViews>
    <sheetView zoomScalePageLayoutView="0" workbookViewId="0" topLeftCell="A76">
      <selection activeCell="D106" sqref="D106"/>
    </sheetView>
  </sheetViews>
  <sheetFormatPr defaultColWidth="9.140625" defaultRowHeight="12"/>
  <cols>
    <col min="2" max="2" width="49.421875" style="0" customWidth="1"/>
    <col min="4" max="4" width="10.00390625" style="0" customWidth="1"/>
    <col min="6" max="6" width="10.00390625" style="0" customWidth="1"/>
    <col min="7" max="7" width="9.28125" style="0" customWidth="1"/>
    <col min="8" max="10" width="9.8515625" style="0" customWidth="1"/>
    <col min="11" max="11" width="8.421875" style="0" customWidth="1"/>
    <col min="12" max="12" width="9.7109375" style="0" bestFit="1" customWidth="1"/>
  </cols>
  <sheetData>
    <row r="1" ht="12" thickBot="1">
      <c r="B1" t="s">
        <v>119</v>
      </c>
    </row>
    <row r="2" spans="1:11" ht="11.25">
      <c r="A2" s="104"/>
      <c r="B2" s="316" t="s">
        <v>75</v>
      </c>
      <c r="C2" s="317"/>
      <c r="D2" s="317"/>
      <c r="E2" s="317"/>
      <c r="F2" s="317"/>
      <c r="G2" s="317"/>
      <c r="H2" s="317"/>
      <c r="I2" s="317"/>
      <c r="J2" s="317"/>
      <c r="K2" s="318"/>
    </row>
    <row r="3" spans="1:11" ht="11.25">
      <c r="A3" s="104"/>
      <c r="B3" s="319" t="s">
        <v>112</v>
      </c>
      <c r="C3" s="294"/>
      <c r="D3" s="294"/>
      <c r="E3" s="294"/>
      <c r="F3" s="294"/>
      <c r="G3" s="294"/>
      <c r="H3" s="294"/>
      <c r="I3" s="294"/>
      <c r="J3" s="294"/>
      <c r="K3" s="320"/>
    </row>
    <row r="4" spans="1:11" ht="11.25">
      <c r="A4" s="104"/>
      <c r="B4" s="106"/>
      <c r="C4" s="69"/>
      <c r="D4" s="43"/>
      <c r="E4" s="69"/>
      <c r="F4" s="295" t="s">
        <v>107</v>
      </c>
      <c r="G4" s="297"/>
      <c r="H4" s="126" t="s">
        <v>126</v>
      </c>
      <c r="I4" s="295" t="s">
        <v>127</v>
      </c>
      <c r="J4" s="314"/>
      <c r="K4" s="315"/>
    </row>
    <row r="5" spans="1:11" ht="11.25">
      <c r="A5" s="104"/>
      <c r="B5" s="107"/>
      <c r="C5" s="12">
        <v>39845</v>
      </c>
      <c r="D5" s="12">
        <v>40179</v>
      </c>
      <c r="E5" s="12">
        <v>40210</v>
      </c>
      <c r="F5" s="12" t="s">
        <v>156</v>
      </c>
      <c r="G5" s="59" t="s">
        <v>157</v>
      </c>
      <c r="H5" s="59" t="s">
        <v>170</v>
      </c>
      <c r="I5" s="12">
        <v>40148</v>
      </c>
      <c r="J5" s="12">
        <v>40179</v>
      </c>
      <c r="K5" s="12">
        <v>40210</v>
      </c>
    </row>
    <row r="6" spans="1:12" ht="11.25">
      <c r="A6" s="104"/>
      <c r="B6" s="108" t="s">
        <v>53</v>
      </c>
      <c r="C6" s="142">
        <v>15129.432098830002</v>
      </c>
      <c r="D6" s="142">
        <v>14959.811073480001</v>
      </c>
      <c r="E6" s="142">
        <v>14722.203356580003</v>
      </c>
      <c r="F6" s="142">
        <v>-237.6077168999982</v>
      </c>
      <c r="G6" s="142">
        <v>-407.2287422499994</v>
      </c>
      <c r="H6" s="143">
        <v>-1.588306936049595</v>
      </c>
      <c r="I6" s="143">
        <v>7.997176127932137</v>
      </c>
      <c r="J6" s="143">
        <v>-3.812142997268153</v>
      </c>
      <c r="K6" s="172">
        <v>-2.6916327036590637</v>
      </c>
      <c r="L6" s="54"/>
    </row>
    <row r="7" spans="1:12" ht="11.25">
      <c r="A7" s="104"/>
      <c r="B7" s="108" t="s">
        <v>140</v>
      </c>
      <c r="C7" s="142">
        <v>14690.802453210003</v>
      </c>
      <c r="D7" s="142">
        <v>14900.86097918</v>
      </c>
      <c r="E7" s="142">
        <v>14661.475975020003</v>
      </c>
      <c r="F7" s="142">
        <v>-239.38500415999806</v>
      </c>
      <c r="G7" s="142">
        <v>-29.32647818999976</v>
      </c>
      <c r="H7" s="143">
        <v>-1.6065179354030286</v>
      </c>
      <c r="I7" s="143">
        <v>9.086874839245574</v>
      </c>
      <c r="J7" s="143">
        <v>-2.133626997297333</v>
      </c>
      <c r="K7" s="172">
        <v>-0.19962475353818565</v>
      </c>
      <c r="L7" s="54"/>
    </row>
    <row r="8" spans="1:12" ht="11.25">
      <c r="A8" s="104"/>
      <c r="B8" s="109" t="s">
        <v>54</v>
      </c>
      <c r="C8" s="144">
        <v>8609.398372450003</v>
      </c>
      <c r="D8" s="144">
        <v>13028.048675740001</v>
      </c>
      <c r="E8" s="144">
        <v>12951.890442710002</v>
      </c>
      <c r="F8" s="144">
        <v>-76.15823302999888</v>
      </c>
      <c r="G8" s="144">
        <v>4342.492070259999</v>
      </c>
      <c r="H8" s="145">
        <v>-0.5845712963278673</v>
      </c>
      <c r="I8" s="145">
        <v>87.60174214192102</v>
      </c>
      <c r="J8" s="145">
        <v>43.69406992609155</v>
      </c>
      <c r="K8" s="173">
        <v>50.43897241595807</v>
      </c>
      <c r="L8" s="54"/>
    </row>
    <row r="9" spans="1:12" ht="11.25">
      <c r="A9" s="104"/>
      <c r="B9" s="109" t="s">
        <v>55</v>
      </c>
      <c r="C9" s="144">
        <v>5953.220152839999</v>
      </c>
      <c r="D9" s="144">
        <v>0</v>
      </c>
      <c r="E9" s="144">
        <v>3E-08</v>
      </c>
      <c r="F9" s="144">
        <v>3E-08</v>
      </c>
      <c r="G9" s="144">
        <v>-5953.2201528099995</v>
      </c>
      <c r="H9" s="145" t="e">
        <v>#DIV/0!</v>
      </c>
      <c r="I9" s="145">
        <v>-100.00000000032254</v>
      </c>
      <c r="J9" s="145">
        <v>-100</v>
      </c>
      <c r="K9" s="173">
        <v>-99.99999999949607</v>
      </c>
      <c r="L9" s="54"/>
    </row>
    <row r="10" spans="1:12" ht="11.25">
      <c r="A10" s="104"/>
      <c r="B10" s="109" t="s">
        <v>56</v>
      </c>
      <c r="C10" s="144">
        <v>128.18392792000003</v>
      </c>
      <c r="D10" s="144">
        <v>1872.81230344</v>
      </c>
      <c r="E10" s="144">
        <v>1709.58553228</v>
      </c>
      <c r="F10" s="144">
        <v>-163.22677116</v>
      </c>
      <c r="G10" s="144">
        <v>1581.40160436</v>
      </c>
      <c r="H10" s="145">
        <v>-8.715596905262927</v>
      </c>
      <c r="I10" s="145">
        <v>851.7824727054922</v>
      </c>
      <c r="J10" s="145">
        <v>1210.9853147017657</v>
      </c>
      <c r="K10" s="173">
        <v>1233.6972583231789</v>
      </c>
      <c r="L10" s="54"/>
    </row>
    <row r="11" spans="1:12" ht="11.25">
      <c r="A11" s="104"/>
      <c r="B11" s="108" t="s">
        <v>57</v>
      </c>
      <c r="C11" s="142">
        <v>438.62964561999996</v>
      </c>
      <c r="D11" s="142">
        <v>58.9500943</v>
      </c>
      <c r="E11" s="142">
        <v>60.72738156</v>
      </c>
      <c r="F11" s="142">
        <v>1.7772872599999943</v>
      </c>
      <c r="G11" s="142">
        <v>-377.90226406</v>
      </c>
      <c r="H11" s="143">
        <v>3.014901470649546</v>
      </c>
      <c r="I11" s="143">
        <v>-68.06154924913228</v>
      </c>
      <c r="J11" s="143">
        <v>-81.97141456148857</v>
      </c>
      <c r="K11" s="172">
        <v>-86.15520356036075</v>
      </c>
      <c r="L11" s="54"/>
    </row>
    <row r="12" spans="1:12" ht="11.25">
      <c r="A12" s="104"/>
      <c r="B12" s="109" t="s">
        <v>97</v>
      </c>
      <c r="C12" s="144">
        <v>415.90286385999997</v>
      </c>
      <c r="D12" s="144">
        <v>37.44495055</v>
      </c>
      <c r="E12" s="144">
        <v>37.59076691</v>
      </c>
      <c r="F12" s="144">
        <v>0.14581635999999776</v>
      </c>
      <c r="G12" s="144">
        <v>-378.31209694999995</v>
      </c>
      <c r="H12" s="145">
        <v>0.38941528259007874</v>
      </c>
      <c r="I12" s="145">
        <v>-76.6358744624286</v>
      </c>
      <c r="J12" s="145">
        <v>-87.68699700182071</v>
      </c>
      <c r="K12" s="173">
        <v>-90.96164749597548</v>
      </c>
      <c r="L12" s="54"/>
    </row>
    <row r="13" spans="1:12" ht="11.25">
      <c r="A13" s="104"/>
      <c r="B13" s="109" t="s">
        <v>76</v>
      </c>
      <c r="C13" s="144">
        <v>0.03722773</v>
      </c>
      <c r="D13" s="144">
        <v>0.03722773</v>
      </c>
      <c r="E13" s="144">
        <v>0.03722773</v>
      </c>
      <c r="F13" s="144">
        <v>0</v>
      </c>
      <c r="G13" s="144">
        <v>0</v>
      </c>
      <c r="H13" s="145">
        <v>0</v>
      </c>
      <c r="I13" s="145">
        <v>4.534240247435317</v>
      </c>
      <c r="J13" s="145">
        <v>-15.107420334876087</v>
      </c>
      <c r="K13" s="173">
        <v>-20.066730331431305</v>
      </c>
      <c r="L13" s="54"/>
    </row>
    <row r="14" spans="1:12" ht="11.25">
      <c r="A14" s="104"/>
      <c r="B14" s="109" t="s">
        <v>58</v>
      </c>
      <c r="C14" s="144">
        <v>22.68955403</v>
      </c>
      <c r="D14" s="144">
        <v>21.467916020000004</v>
      </c>
      <c r="E14" s="144">
        <v>23.099386919999997</v>
      </c>
      <c r="F14" s="144">
        <v>1.631470899999993</v>
      </c>
      <c r="G14" s="144">
        <v>0.409832889999997</v>
      </c>
      <c r="H14" s="145">
        <v>7.599577427450701</v>
      </c>
      <c r="I14" s="145">
        <v>0</v>
      </c>
      <c r="J14" s="145">
        <v>0</v>
      </c>
      <c r="K14" s="173">
        <v>0</v>
      </c>
      <c r="L14" s="54"/>
    </row>
    <row r="15" spans="1:12" ht="11.25">
      <c r="A15" s="104"/>
      <c r="B15" s="110"/>
      <c r="C15" s="142"/>
      <c r="D15" s="142"/>
      <c r="E15" s="142"/>
      <c r="F15" s="142"/>
      <c r="G15" s="142"/>
      <c r="H15" s="143"/>
      <c r="I15" s="143"/>
      <c r="J15" s="143"/>
      <c r="K15" s="172"/>
      <c r="L15" s="54"/>
    </row>
    <row r="16" spans="1:12" ht="11.25">
      <c r="A16" s="104"/>
      <c r="B16" s="108" t="s">
        <v>59</v>
      </c>
      <c r="C16" s="142">
        <v>15129.410040199993</v>
      </c>
      <c r="D16" s="142">
        <v>14959.857535830006</v>
      </c>
      <c r="E16" s="142">
        <v>14722.2213963</v>
      </c>
      <c r="F16" s="142">
        <v>-237.6361395300064</v>
      </c>
      <c r="G16" s="142">
        <v>-407.1886438999936</v>
      </c>
      <c r="H16" s="143">
        <v>-1.588491995734917</v>
      </c>
      <c r="I16" s="143">
        <v>7.99698478264077</v>
      </c>
      <c r="J16" s="143">
        <v>-3.812117650471303</v>
      </c>
      <c r="K16" s="172">
        <v>-2.691371592270042</v>
      </c>
      <c r="L16" s="54"/>
    </row>
    <row r="17" spans="1:12" ht="11.25">
      <c r="A17" s="104"/>
      <c r="B17" s="108" t="s">
        <v>60</v>
      </c>
      <c r="C17" s="142">
        <v>3121.737683889994</v>
      </c>
      <c r="D17" s="142">
        <v>4210.283723480006</v>
      </c>
      <c r="E17" s="142">
        <v>4434.295964209998</v>
      </c>
      <c r="F17" s="142">
        <v>224.0122407299914</v>
      </c>
      <c r="G17" s="142">
        <v>1312.5582803200036</v>
      </c>
      <c r="H17" s="143">
        <v>5.320597267132256</v>
      </c>
      <c r="I17" s="145">
        <v>30.921327926039588</v>
      </c>
      <c r="J17" s="145">
        <v>30.73939584281038</v>
      </c>
      <c r="K17" s="172">
        <v>42.04575826769743</v>
      </c>
      <c r="L17" s="54"/>
    </row>
    <row r="18" spans="1:12" ht="11.25">
      <c r="A18" s="104"/>
      <c r="B18" s="109" t="s">
        <v>61</v>
      </c>
      <c r="C18" s="144">
        <v>1496.98834575</v>
      </c>
      <c r="D18" s="144">
        <v>1526.6705869500001</v>
      </c>
      <c r="E18" s="144">
        <v>1506.56686675</v>
      </c>
      <c r="F18" s="144">
        <v>-20.103720200000225</v>
      </c>
      <c r="G18" s="144">
        <v>9.57852099999991</v>
      </c>
      <c r="H18" s="145">
        <v>-1.3168341862250499</v>
      </c>
      <c r="I18" s="145">
        <v>2.922909758111225</v>
      </c>
      <c r="J18" s="145">
        <v>-0.0026444167278150132</v>
      </c>
      <c r="K18" s="173">
        <v>0.6398527434895218</v>
      </c>
      <c r="L18" s="54"/>
    </row>
    <row r="19" spans="1:12" ht="11.25">
      <c r="A19" s="104"/>
      <c r="B19" s="109" t="s">
        <v>62</v>
      </c>
      <c r="C19" s="144">
        <v>1624.749338139994</v>
      </c>
      <c r="D19" s="144">
        <v>2683.613136530006</v>
      </c>
      <c r="E19" s="144">
        <v>2927.7290974599973</v>
      </c>
      <c r="F19" s="144">
        <v>244.11596092999116</v>
      </c>
      <c r="G19" s="144">
        <v>1302.9797593200033</v>
      </c>
      <c r="H19" s="145">
        <v>9.096540690124977</v>
      </c>
      <c r="I19" s="145">
        <v>63.044587558072166</v>
      </c>
      <c r="J19" s="145">
        <v>58.45122571444925</v>
      </c>
      <c r="K19" s="173">
        <v>80.19574027410583</v>
      </c>
      <c r="L19" s="54"/>
    </row>
    <row r="20" spans="1:12" ht="11.25">
      <c r="A20" s="104"/>
      <c r="B20" s="108" t="s">
        <v>98</v>
      </c>
      <c r="C20" s="142">
        <v>12022.510893929999</v>
      </c>
      <c r="D20" s="142">
        <v>10882.60991444</v>
      </c>
      <c r="E20" s="142">
        <v>10416.584967130002</v>
      </c>
      <c r="F20" s="142">
        <v>-466.0249473099975</v>
      </c>
      <c r="G20" s="142">
        <v>-1605.925926799997</v>
      </c>
      <c r="H20" s="143">
        <v>-4.282290286741188</v>
      </c>
      <c r="I20" s="143">
        <v>1.7444201344913868</v>
      </c>
      <c r="J20" s="143">
        <v>-11.905078021430281</v>
      </c>
      <c r="K20" s="172">
        <v>-13.357658320865461</v>
      </c>
      <c r="L20" s="54"/>
    </row>
    <row r="21" spans="1:12" ht="11.25">
      <c r="A21" s="104"/>
      <c r="B21" s="109" t="s">
        <v>141</v>
      </c>
      <c r="C21" s="144">
        <v>8600.980491299999</v>
      </c>
      <c r="D21" s="144">
        <v>7477.758450820001</v>
      </c>
      <c r="E21" s="144">
        <v>6875.052400640001</v>
      </c>
      <c r="F21" s="144">
        <v>-602.7060501799997</v>
      </c>
      <c r="G21" s="144">
        <v>-1725.928090659998</v>
      </c>
      <c r="H21" s="145">
        <v>-8.0599828697851</v>
      </c>
      <c r="I21" s="145">
        <v>4.534214918927404</v>
      </c>
      <c r="J21" s="145">
        <v>-15.107356485671186</v>
      </c>
      <c r="K21" s="173">
        <v>-20.066643476354773</v>
      </c>
      <c r="L21" s="54"/>
    </row>
    <row r="22" spans="1:12" ht="11.25">
      <c r="A22" s="104"/>
      <c r="B22" s="111" t="s">
        <v>63</v>
      </c>
      <c r="C22" s="144">
        <v>3421.53040263</v>
      </c>
      <c r="D22" s="144">
        <v>3404.85146362</v>
      </c>
      <c r="E22" s="144">
        <v>3541.53256649</v>
      </c>
      <c r="F22" s="144">
        <v>136.68110287000036</v>
      </c>
      <c r="G22" s="144">
        <v>120.00216386000011</v>
      </c>
      <c r="H22" s="145">
        <v>4.014304422099006</v>
      </c>
      <c r="I22" s="145">
        <v>-3.695724144779733</v>
      </c>
      <c r="J22" s="145">
        <v>-3.947698452483972</v>
      </c>
      <c r="K22" s="173">
        <v>3.5072657477413838</v>
      </c>
      <c r="L22" s="54"/>
    </row>
    <row r="23" spans="1:12" ht="11.25">
      <c r="A23" s="104"/>
      <c r="B23" s="112" t="s">
        <v>0</v>
      </c>
      <c r="C23" s="144">
        <v>7.89993063</v>
      </c>
      <c r="D23" s="144">
        <v>5.70227562</v>
      </c>
      <c r="E23" s="144">
        <v>6.11477452</v>
      </c>
      <c r="F23" s="144">
        <v>0.4124989000000001</v>
      </c>
      <c r="G23" s="144">
        <v>-1.78515611</v>
      </c>
      <c r="H23" s="145">
        <v>7.233934791808609</v>
      </c>
      <c r="I23" s="145">
        <v>13.398552178460088</v>
      </c>
      <c r="J23" s="145">
        <v>-23.9662813877324</v>
      </c>
      <c r="K23" s="173">
        <v>-22.5971112103297</v>
      </c>
      <c r="L23" s="54"/>
    </row>
    <row r="24" spans="1:12" ht="11.25">
      <c r="A24" s="104"/>
      <c r="B24" s="112" t="s">
        <v>99</v>
      </c>
      <c r="C24" s="144">
        <v>120.19119373999999</v>
      </c>
      <c r="D24" s="144">
        <v>81.14919670999997</v>
      </c>
      <c r="E24" s="144">
        <v>83.75151056999997</v>
      </c>
      <c r="F24" s="144">
        <v>2.6023138599999953</v>
      </c>
      <c r="G24" s="144">
        <v>-36.43968317000002</v>
      </c>
      <c r="H24" s="145">
        <v>3.206826395706408</v>
      </c>
      <c r="I24" s="145">
        <v>-32.44976896250661</v>
      </c>
      <c r="J24" s="145">
        <v>-32.827965006600245</v>
      </c>
      <c r="K24" s="173">
        <v>-30.318097388089083</v>
      </c>
      <c r="L24" s="54"/>
    </row>
    <row r="25" spans="1:12" ht="12" thickBot="1">
      <c r="A25" s="104"/>
      <c r="B25" s="113" t="s">
        <v>92</v>
      </c>
      <c r="C25" s="174">
        <v>-142.92966199000003</v>
      </c>
      <c r="D25" s="174">
        <v>-219.88757442000008</v>
      </c>
      <c r="E25" s="174">
        <v>-218.52582013000006</v>
      </c>
      <c r="F25" s="174">
        <v>1.3617542900000217</v>
      </c>
      <c r="G25" s="174">
        <v>-75.59615814000003</v>
      </c>
      <c r="H25" s="175">
        <v>-0.6192956985368256</v>
      </c>
      <c r="I25" s="175">
        <v>30.040461020047537</v>
      </c>
      <c r="J25" s="175">
        <v>47.37595290970058</v>
      </c>
      <c r="K25" s="176">
        <v>52.89046170506515</v>
      </c>
      <c r="L25" s="54"/>
    </row>
    <row r="26" spans="2:12" ht="12" customHeight="1" hidden="1">
      <c r="B26" s="58" t="s">
        <v>74</v>
      </c>
      <c r="C26" s="146">
        <v>0.02205863000926911</v>
      </c>
      <c r="D26" s="146">
        <v>-0.04646235000473098</v>
      </c>
      <c r="E26" s="146">
        <v>-0.018039719996522763</v>
      </c>
      <c r="F26" s="146">
        <v>0.028422630008208216</v>
      </c>
      <c r="G26" s="146">
        <v>-0.04009835000579187</v>
      </c>
      <c r="H26" s="146">
        <v>0.0001850596853221198</v>
      </c>
      <c r="I26" s="146">
        <v>0.00019134529136710654</v>
      </c>
      <c r="J26" s="146">
        <v>-2.534679685028962E-05</v>
      </c>
      <c r="K26" s="147">
        <v>-0.0002611113890216288</v>
      </c>
      <c r="L26" s="54">
        <f>(E26-C26)/C26*100</f>
        <v>-181.78078143992812</v>
      </c>
    </row>
    <row r="27" spans="2:11" ht="11.25">
      <c r="B27" s="44"/>
      <c r="C27" s="45"/>
      <c r="D27" s="45"/>
      <c r="E27" s="45"/>
      <c r="F27" s="45"/>
      <c r="G27" s="45"/>
      <c r="H27" s="45"/>
      <c r="I27" s="45"/>
      <c r="J27" s="45"/>
      <c r="K27" s="46"/>
    </row>
    <row r="28" spans="2:11" ht="11.25">
      <c r="B28" s="44"/>
      <c r="C28" s="45"/>
      <c r="D28" s="45"/>
      <c r="E28" s="45"/>
      <c r="F28" s="45"/>
      <c r="G28" s="45"/>
      <c r="H28" s="45"/>
      <c r="I28" s="45"/>
      <c r="J28" s="45"/>
      <c r="K28" s="46"/>
    </row>
    <row r="29" spans="2:11" ht="12" thickBot="1">
      <c r="B29" s="44"/>
      <c r="C29" s="45"/>
      <c r="D29" s="45"/>
      <c r="E29" s="45"/>
      <c r="F29" s="45"/>
      <c r="G29" s="45"/>
      <c r="H29" s="45"/>
      <c r="I29" s="45"/>
      <c r="J29" s="45"/>
      <c r="K29" s="46"/>
    </row>
    <row r="30" spans="1:12" ht="11.25">
      <c r="A30" s="104"/>
      <c r="B30" s="316" t="s">
        <v>75</v>
      </c>
      <c r="C30" s="317"/>
      <c r="D30" s="317"/>
      <c r="E30" s="317"/>
      <c r="F30" s="317"/>
      <c r="G30" s="317"/>
      <c r="H30" s="317"/>
      <c r="I30" s="317"/>
      <c r="J30" s="317"/>
      <c r="K30" s="318"/>
      <c r="L30" s="104"/>
    </row>
    <row r="31" spans="1:12" ht="11.25">
      <c r="A31" s="104"/>
      <c r="B31" s="319" t="s">
        <v>113</v>
      </c>
      <c r="C31" s="294"/>
      <c r="D31" s="294"/>
      <c r="E31" s="294"/>
      <c r="F31" s="294"/>
      <c r="G31" s="294"/>
      <c r="H31" s="294"/>
      <c r="I31" s="294"/>
      <c r="J31" s="294"/>
      <c r="K31" s="320"/>
      <c r="L31" s="104"/>
    </row>
    <row r="32" spans="1:12" ht="11.25">
      <c r="A32" s="104"/>
      <c r="B32" s="106"/>
      <c r="C32" s="69"/>
      <c r="D32" s="43"/>
      <c r="E32" s="69"/>
      <c r="F32" s="295" t="s">
        <v>107</v>
      </c>
      <c r="G32" s="297"/>
      <c r="H32" s="126" t="s">
        <v>126</v>
      </c>
      <c r="I32" s="295" t="s">
        <v>127</v>
      </c>
      <c r="J32" s="314"/>
      <c r="K32" s="315"/>
      <c r="L32" s="104"/>
    </row>
    <row r="33" spans="1:12" ht="11.25">
      <c r="A33" s="104"/>
      <c r="B33" s="107"/>
      <c r="C33" s="12">
        <f>C5</f>
        <v>39845</v>
      </c>
      <c r="D33" s="68">
        <f>D5</f>
        <v>40179</v>
      </c>
      <c r="E33" s="12">
        <f>E5</f>
        <v>40210</v>
      </c>
      <c r="F33" s="12" t="s">
        <v>110</v>
      </c>
      <c r="G33" s="59" t="s">
        <v>109</v>
      </c>
      <c r="H33" s="59" t="s">
        <v>128</v>
      </c>
      <c r="I33" s="12">
        <f>I5</f>
        <v>40148</v>
      </c>
      <c r="J33" s="12">
        <f>J5</f>
        <v>40179</v>
      </c>
      <c r="K33" s="171">
        <f>K5</f>
        <v>40210</v>
      </c>
      <c r="L33" s="104"/>
    </row>
    <row r="34" spans="1:12" ht="11.25">
      <c r="A34" s="104"/>
      <c r="B34" s="114" t="s">
        <v>53</v>
      </c>
      <c r="C34" s="155">
        <v>45323.60360304877</v>
      </c>
      <c r="D34" s="155">
        <v>52882.329641584416</v>
      </c>
      <c r="E34" s="155">
        <v>52140.34711715363</v>
      </c>
      <c r="F34" s="155">
        <v>-741.9825244307867</v>
      </c>
      <c r="G34" s="155">
        <v>6816.743514104863</v>
      </c>
      <c r="H34" s="156">
        <v>-1.4030821438080578</v>
      </c>
      <c r="I34" s="156">
        <v>13.30139964290742</v>
      </c>
      <c r="J34" s="156">
        <v>15.003791774527485</v>
      </c>
      <c r="K34" s="177">
        <v>15.047240763177827</v>
      </c>
      <c r="L34" s="104"/>
    </row>
    <row r="35" spans="1:13" ht="11.25">
      <c r="A35" s="104"/>
      <c r="B35" s="114" t="s">
        <v>140</v>
      </c>
      <c r="C35" s="155">
        <v>2129.186138899585</v>
      </c>
      <c r="D35" s="155">
        <v>4508.784651792299</v>
      </c>
      <c r="E35" s="155">
        <v>4341.179001889999</v>
      </c>
      <c r="F35" s="155">
        <v>-167.60564990229977</v>
      </c>
      <c r="G35" s="155">
        <v>2211.9928629904143</v>
      </c>
      <c r="H35" s="156">
        <v>-3.7173132639119153</v>
      </c>
      <c r="I35" s="156">
        <v>80.38977491595224</v>
      </c>
      <c r="J35" s="156">
        <v>60.116831375790184</v>
      </c>
      <c r="K35" s="177">
        <v>103.88912564185797</v>
      </c>
      <c r="L35" s="104"/>
      <c r="M35" s="198"/>
    </row>
    <row r="36" spans="1:12" ht="11.25">
      <c r="A36" s="104"/>
      <c r="B36" s="115" t="s">
        <v>64</v>
      </c>
      <c r="C36" s="157">
        <v>224.02194485478185</v>
      </c>
      <c r="D36" s="157">
        <v>235.62620981681894</v>
      </c>
      <c r="E36" s="157">
        <v>141.79801126</v>
      </c>
      <c r="F36" s="157">
        <v>-93.82819855681893</v>
      </c>
      <c r="G36" s="157">
        <v>-82.22393359478184</v>
      </c>
      <c r="H36" s="158">
        <v>-39.820781665063095</v>
      </c>
      <c r="I36" s="158">
        <v>-47.26207257808791</v>
      </c>
      <c r="J36" s="158">
        <v>-25.22647811973823</v>
      </c>
      <c r="K36" s="178">
        <v>-36.70351743802689</v>
      </c>
      <c r="L36" s="104"/>
    </row>
    <row r="37" spans="1:12" ht="11.25">
      <c r="A37" s="104"/>
      <c r="B37" s="115" t="s">
        <v>54</v>
      </c>
      <c r="C37" s="157">
        <v>1717.5953874660358</v>
      </c>
      <c r="D37" s="157">
        <v>3924.31780076</v>
      </c>
      <c r="E37" s="157">
        <v>3967.89199063</v>
      </c>
      <c r="F37" s="157">
        <v>43.57418986999983</v>
      </c>
      <c r="G37" s="157">
        <v>2250.296603163964</v>
      </c>
      <c r="H37" s="158">
        <v>1.1103634333988206</v>
      </c>
      <c r="I37" s="158">
        <v>118.06137355729783</v>
      </c>
      <c r="J37" s="158">
        <v>76.2258461504253</v>
      </c>
      <c r="K37" s="178">
        <v>131.0143599351312</v>
      </c>
      <c r="L37" s="104"/>
    </row>
    <row r="38" spans="1:12" ht="11.25">
      <c r="A38" s="104"/>
      <c r="B38" s="115" t="s">
        <v>65</v>
      </c>
      <c r="C38" s="157">
        <v>81.355</v>
      </c>
      <c r="D38" s="157">
        <v>105.554</v>
      </c>
      <c r="E38" s="157">
        <v>106.79</v>
      </c>
      <c r="F38" s="157">
        <v>1.2360000000000042</v>
      </c>
      <c r="G38" s="157">
        <v>25.435000000000002</v>
      </c>
      <c r="H38" s="158">
        <v>1.1709646247418424</v>
      </c>
      <c r="I38" s="158">
        <v>29.115436308427455</v>
      </c>
      <c r="J38" s="158">
        <v>31.36776602364655</v>
      </c>
      <c r="K38" s="178">
        <v>31.264212402433778</v>
      </c>
      <c r="L38" s="104"/>
    </row>
    <row r="39" spans="1:12" ht="11.25">
      <c r="A39" s="104"/>
      <c r="B39" s="115" t="s">
        <v>66</v>
      </c>
      <c r="C39" s="157">
        <v>106.21380657876713</v>
      </c>
      <c r="D39" s="157">
        <v>243.28664121547945</v>
      </c>
      <c r="E39" s="157">
        <v>124.69900000000001</v>
      </c>
      <c r="F39" s="157">
        <v>-118.58764121547944</v>
      </c>
      <c r="G39" s="157">
        <v>18.48519342123288</v>
      </c>
      <c r="H39" s="158">
        <v>-48.744000337628954</v>
      </c>
      <c r="I39" s="158">
        <v>32.00454325102011</v>
      </c>
      <c r="J39" s="158">
        <v>25.66724536669629</v>
      </c>
      <c r="K39" s="178">
        <v>17.403757587319333</v>
      </c>
      <c r="L39" s="104"/>
    </row>
    <row r="40" spans="1:14" ht="11.25">
      <c r="A40" s="104"/>
      <c r="B40" s="114" t="s">
        <v>57</v>
      </c>
      <c r="C40" s="155">
        <v>41035.566587339184</v>
      </c>
      <c r="D40" s="155">
        <v>45184.52501796334</v>
      </c>
      <c r="E40" s="155">
        <v>44928.99912169056</v>
      </c>
      <c r="F40" s="155">
        <v>-255.52589627277484</v>
      </c>
      <c r="G40" s="155">
        <v>3893.4325343513774</v>
      </c>
      <c r="H40" s="156">
        <v>-0.5655163934360032</v>
      </c>
      <c r="I40" s="156">
        <v>8.915433189845622</v>
      </c>
      <c r="J40" s="156">
        <v>9.723665262247083</v>
      </c>
      <c r="K40" s="177">
        <v>9.487946330812026</v>
      </c>
      <c r="L40" s="200"/>
      <c r="M40" s="200"/>
      <c r="N40" s="200"/>
    </row>
    <row r="41" spans="1:12" ht="11.25">
      <c r="A41" s="104"/>
      <c r="B41" s="115" t="s">
        <v>77</v>
      </c>
      <c r="C41" s="157">
        <v>1878.6188015091825</v>
      </c>
      <c r="D41" s="157">
        <v>3110.6686303631814</v>
      </c>
      <c r="E41" s="157">
        <v>2986.6222161799997</v>
      </c>
      <c r="F41" s="157">
        <v>-124.0464141831817</v>
      </c>
      <c r="G41" s="157">
        <v>1108.0034146708172</v>
      </c>
      <c r="H41" s="158">
        <v>-3.987773335043368</v>
      </c>
      <c r="I41" s="158">
        <v>36.41638023324943</v>
      </c>
      <c r="J41" s="158">
        <v>62.933661457340165</v>
      </c>
      <c r="K41" s="178">
        <v>58.97968304057779</v>
      </c>
      <c r="L41" s="104"/>
    </row>
    <row r="42" spans="1:12" ht="11.25">
      <c r="A42" s="104"/>
      <c r="B42" s="115" t="s">
        <v>76</v>
      </c>
      <c r="C42" s="157">
        <v>2446.40127431</v>
      </c>
      <c r="D42" s="157">
        <v>1925.7830125401458</v>
      </c>
      <c r="E42" s="157">
        <v>2255.263051333701</v>
      </c>
      <c r="F42" s="157">
        <v>329.48003879355497</v>
      </c>
      <c r="G42" s="157">
        <v>-191.1382229762994</v>
      </c>
      <c r="H42" s="158">
        <v>17.10888696431922</v>
      </c>
      <c r="I42" s="158">
        <v>-13.803698917683604</v>
      </c>
      <c r="J42" s="158">
        <v>-28.45648283704537</v>
      </c>
      <c r="K42" s="178">
        <v>-7.813036437785925</v>
      </c>
      <c r="L42" s="104"/>
    </row>
    <row r="43" spans="1:12" ht="11.25">
      <c r="A43" s="104"/>
      <c r="B43" s="115" t="s">
        <v>47</v>
      </c>
      <c r="C43" s="157">
        <v>2520.1412598499996</v>
      </c>
      <c r="D43" s="157">
        <v>2737.53922176</v>
      </c>
      <c r="E43" s="157">
        <v>2798.83484712</v>
      </c>
      <c r="F43" s="157">
        <v>61.29562536000003</v>
      </c>
      <c r="G43" s="157">
        <v>278.69358727000053</v>
      </c>
      <c r="H43" s="158">
        <v>2.23907752162149</v>
      </c>
      <c r="I43" s="158">
        <v>5.76423183716388</v>
      </c>
      <c r="J43" s="158">
        <v>6.604838821468362</v>
      </c>
      <c r="K43" s="178">
        <v>11.058649438031454</v>
      </c>
      <c r="L43" s="104"/>
    </row>
    <row r="44" spans="1:12" ht="11.25">
      <c r="A44" s="104"/>
      <c r="B44" s="115" t="s">
        <v>78</v>
      </c>
      <c r="C44" s="157">
        <v>78.23304601000001</v>
      </c>
      <c r="D44" s="157">
        <v>85.11741223</v>
      </c>
      <c r="E44" s="157">
        <v>70.72793197000001</v>
      </c>
      <c r="F44" s="157">
        <v>-14.389480259999985</v>
      </c>
      <c r="G44" s="157">
        <v>-7.505114039999995</v>
      </c>
      <c r="H44" s="158">
        <v>-16.905448465840873</v>
      </c>
      <c r="I44" s="158">
        <v>4.913503034832378</v>
      </c>
      <c r="J44" s="158">
        <v>-4.7705638742564505</v>
      </c>
      <c r="K44" s="178">
        <v>-9.59327857315011</v>
      </c>
      <c r="L44" s="104"/>
    </row>
    <row r="45" spans="1:12" ht="11.25">
      <c r="A45" s="104"/>
      <c r="B45" s="115" t="s">
        <v>136</v>
      </c>
      <c r="C45" s="157">
        <v>524.13633568</v>
      </c>
      <c r="D45" s="157">
        <v>512.88448068</v>
      </c>
      <c r="E45" s="157">
        <v>414.83191901</v>
      </c>
      <c r="F45" s="157">
        <v>-98.05256167000005</v>
      </c>
      <c r="G45" s="157">
        <v>-109.30441667000002</v>
      </c>
      <c r="H45" s="158">
        <v>-19.117864814314242</v>
      </c>
      <c r="I45" s="158">
        <v>-23.82733770670361</v>
      </c>
      <c r="J45" s="158">
        <v>-6.180971061178841</v>
      </c>
      <c r="K45" s="178">
        <v>-20.85419560317098</v>
      </c>
      <c r="L45" s="104"/>
    </row>
    <row r="46" spans="1:12" ht="11.25">
      <c r="A46" s="104"/>
      <c r="B46" s="115" t="s">
        <v>142</v>
      </c>
      <c r="C46" s="157">
        <v>11691.20542326</v>
      </c>
      <c r="D46" s="157">
        <v>13422.828510360001</v>
      </c>
      <c r="E46" s="157">
        <v>13041.819337406861</v>
      </c>
      <c r="F46" s="157">
        <v>-381.00917295313957</v>
      </c>
      <c r="G46" s="157">
        <v>1350.6139141468611</v>
      </c>
      <c r="H46" s="158">
        <v>-2.8385162833531643</v>
      </c>
      <c r="I46" s="158">
        <v>17.978843686100788</v>
      </c>
      <c r="J46" s="158">
        <v>18.767621912440013</v>
      </c>
      <c r="K46" s="178">
        <v>11.552392291899816</v>
      </c>
      <c r="L46" s="104"/>
    </row>
    <row r="47" spans="1:12" ht="11.25">
      <c r="A47" s="104"/>
      <c r="B47" s="115" t="s">
        <v>48</v>
      </c>
      <c r="C47" s="157">
        <v>21896.830446720007</v>
      </c>
      <c r="D47" s="157">
        <v>23389.703750030007</v>
      </c>
      <c r="E47" s="157">
        <v>23360.89981867</v>
      </c>
      <c r="F47" s="157">
        <v>-28.803931360005663</v>
      </c>
      <c r="G47" s="157">
        <v>1464.069371949994</v>
      </c>
      <c r="H47" s="158">
        <v>-0.1231479101567018</v>
      </c>
      <c r="I47" s="158">
        <v>5.9016354006290905</v>
      </c>
      <c r="J47" s="158">
        <v>5.96224900635407</v>
      </c>
      <c r="K47" s="178">
        <v>6.686215959485131</v>
      </c>
      <c r="L47" s="104"/>
    </row>
    <row r="48" spans="1:12" ht="11.25">
      <c r="A48" s="104"/>
      <c r="B48" s="116" t="s">
        <v>143</v>
      </c>
      <c r="C48" s="155">
        <v>2158.8508768099996</v>
      </c>
      <c r="D48" s="155">
        <v>3189.019971828785</v>
      </c>
      <c r="E48" s="155">
        <v>2870.168993573066</v>
      </c>
      <c r="F48" s="155">
        <v>-318.8509782557189</v>
      </c>
      <c r="G48" s="155">
        <v>711.3181167630664</v>
      </c>
      <c r="H48" s="156">
        <v>-9.998400169092378</v>
      </c>
      <c r="I48" s="156">
        <v>39.046069081521374</v>
      </c>
      <c r="J48" s="156">
        <v>60.550213764397</v>
      </c>
      <c r="K48" s="177">
        <v>33.13819964484714</v>
      </c>
      <c r="L48" s="104"/>
    </row>
    <row r="49" spans="1:12" ht="11.25">
      <c r="A49" s="104"/>
      <c r="B49" s="117"/>
      <c r="C49" s="155"/>
      <c r="D49" s="155"/>
      <c r="E49" s="155"/>
      <c r="F49" s="155"/>
      <c r="G49" s="157"/>
      <c r="H49" s="158"/>
      <c r="I49" s="158"/>
      <c r="J49" s="158"/>
      <c r="K49" s="178"/>
      <c r="L49" s="104"/>
    </row>
    <row r="50" spans="1:12" ht="11.25">
      <c r="A50" s="104"/>
      <c r="B50" s="114" t="s">
        <v>59</v>
      </c>
      <c r="C50" s="155">
        <v>45323.60463531067</v>
      </c>
      <c r="D50" s="155">
        <v>52882.337410158645</v>
      </c>
      <c r="E50" s="155">
        <v>52140.35491913884</v>
      </c>
      <c r="F50" s="155">
        <v>-741.9824910198076</v>
      </c>
      <c r="G50" s="155">
        <v>6816.750283828165</v>
      </c>
      <c r="H50" s="156">
        <v>-1.4030818745112306</v>
      </c>
      <c r="I50" s="156">
        <v>13.294517001473437</v>
      </c>
      <c r="J50" s="156">
        <v>14.996835683672693</v>
      </c>
      <c r="K50" s="177">
        <v>15.040176832090225</v>
      </c>
      <c r="L50" s="104"/>
    </row>
    <row r="51" spans="1:12" ht="11.25">
      <c r="A51" s="104"/>
      <c r="B51" s="118" t="s">
        <v>67</v>
      </c>
      <c r="C51" s="155">
        <v>1362.9465277934248</v>
      </c>
      <c r="D51" s="155">
        <v>469.7723781539209</v>
      </c>
      <c r="E51" s="155">
        <v>635.41312635</v>
      </c>
      <c r="F51" s="155">
        <v>165.64074819607907</v>
      </c>
      <c r="G51" s="155">
        <v>-727.5334014434249</v>
      </c>
      <c r="H51" s="156">
        <v>35.25978876131514</v>
      </c>
      <c r="I51" s="156">
        <v>-62.166897316064315</v>
      </c>
      <c r="J51" s="156">
        <v>-55.84389651580285</v>
      </c>
      <c r="K51" s="177">
        <v>-53.379453016493805</v>
      </c>
      <c r="L51" s="104"/>
    </row>
    <row r="52" spans="1:12" ht="11.25">
      <c r="A52" s="104"/>
      <c r="B52" s="115" t="s">
        <v>54</v>
      </c>
      <c r="C52" s="157">
        <v>562.5880101800001</v>
      </c>
      <c r="D52" s="157">
        <v>355.44545113</v>
      </c>
      <c r="E52" s="157">
        <v>524.9588699999999</v>
      </c>
      <c r="F52" s="157">
        <v>169.51341886999995</v>
      </c>
      <c r="G52" s="157">
        <v>-37.62914018000015</v>
      </c>
      <c r="H52" s="158">
        <v>47.690417286562045</v>
      </c>
      <c r="I52" s="158">
        <v>5.042304024004429</v>
      </c>
      <c r="J52" s="158">
        <v>31.720462937459935</v>
      </c>
      <c r="K52" s="178">
        <v>-6.688578408907208</v>
      </c>
      <c r="L52" s="104"/>
    </row>
    <row r="53" spans="1:12" ht="11.25">
      <c r="A53" s="104"/>
      <c r="B53" s="115" t="s">
        <v>144</v>
      </c>
      <c r="C53" s="157">
        <v>573.72944136</v>
      </c>
      <c r="D53" s="157">
        <v>100.6</v>
      </c>
      <c r="E53" s="157">
        <v>100.6</v>
      </c>
      <c r="F53" s="157">
        <v>0</v>
      </c>
      <c r="G53" s="157">
        <v>-473.12944136</v>
      </c>
      <c r="H53" s="158">
        <v>0</v>
      </c>
      <c r="I53" s="158">
        <v>-82.29790434565874</v>
      </c>
      <c r="J53" s="158">
        <v>-82.38641493912344</v>
      </c>
      <c r="K53" s="178">
        <v>-82.46560264337626</v>
      </c>
      <c r="L53" s="104"/>
    </row>
    <row r="54" spans="1:12" ht="11.25">
      <c r="A54" s="104"/>
      <c r="B54" s="115" t="s">
        <v>65</v>
      </c>
      <c r="C54" s="157">
        <v>226.62907625342464</v>
      </c>
      <c r="D54" s="157">
        <v>13.726927023920975</v>
      </c>
      <c r="E54" s="157">
        <v>9.854256350000002</v>
      </c>
      <c r="F54" s="157">
        <v>-3.8726706739209735</v>
      </c>
      <c r="G54" s="157">
        <v>-216.77481990342463</v>
      </c>
      <c r="H54" s="158">
        <v>-28.212218708326603</v>
      </c>
      <c r="I54" s="158">
        <v>-100.0009799603602</v>
      </c>
      <c r="J54" s="158">
        <v>-93.84143514265926</v>
      </c>
      <c r="K54" s="178">
        <v>-95.6518128596259</v>
      </c>
      <c r="L54" s="104"/>
    </row>
    <row r="55" spans="1:12" ht="11.25">
      <c r="A55" s="104"/>
      <c r="B55" s="115" t="s">
        <v>68</v>
      </c>
      <c r="C55" s="157">
        <v>0</v>
      </c>
      <c r="D55" s="157">
        <v>0</v>
      </c>
      <c r="E55" s="157">
        <v>0</v>
      </c>
      <c r="F55" s="157">
        <v>0</v>
      </c>
      <c r="G55" s="157">
        <v>0</v>
      </c>
      <c r="H55" s="158">
        <v>0</v>
      </c>
      <c r="I55" s="158">
        <v>0</v>
      </c>
      <c r="J55" s="158">
        <v>0</v>
      </c>
      <c r="K55" s="178">
        <v>0</v>
      </c>
      <c r="L55" s="104"/>
    </row>
    <row r="56" spans="1:12" ht="11.25">
      <c r="A56" s="104"/>
      <c r="B56" s="114" t="s">
        <v>69</v>
      </c>
      <c r="C56" s="155">
        <v>43960.65810751725</v>
      </c>
      <c r="D56" s="155">
        <v>52412.56503200472</v>
      </c>
      <c r="E56" s="155">
        <v>51504.941792788835</v>
      </c>
      <c r="F56" s="155">
        <v>-907.6232392158854</v>
      </c>
      <c r="G56" s="155">
        <v>7544.283685271585</v>
      </c>
      <c r="H56" s="156">
        <v>-1.7316901751739544</v>
      </c>
      <c r="I56" s="156">
        <v>15.143618454557139</v>
      </c>
      <c r="J56" s="156">
        <v>16.674559743884387</v>
      </c>
      <c r="K56" s="177">
        <v>17.161443913828744</v>
      </c>
      <c r="L56" s="104"/>
    </row>
    <row r="57" spans="1:12" ht="11.25">
      <c r="A57" s="104"/>
      <c r="B57" s="115" t="s">
        <v>70</v>
      </c>
      <c r="C57" s="157">
        <v>28099.925654122755</v>
      </c>
      <c r="D57" s="157">
        <v>30738.756237285204</v>
      </c>
      <c r="E57" s="157">
        <v>30495.75778679521</v>
      </c>
      <c r="F57" s="157">
        <v>-242.99845048999487</v>
      </c>
      <c r="G57" s="157">
        <v>2395.8321326724545</v>
      </c>
      <c r="H57" s="158">
        <v>-0.7905279205644792</v>
      </c>
      <c r="I57" s="158">
        <v>6.09005885303513</v>
      </c>
      <c r="J57" s="158">
        <v>7.208366853103443</v>
      </c>
      <c r="K57" s="178">
        <v>8.526115556896308</v>
      </c>
      <c r="L57" s="104"/>
    </row>
    <row r="58" spans="1:12" ht="11.25">
      <c r="A58" s="104"/>
      <c r="B58" s="119" t="s">
        <v>71</v>
      </c>
      <c r="C58" s="157">
        <v>17683.793264842756</v>
      </c>
      <c r="D58" s="157">
        <v>20934.773317235205</v>
      </c>
      <c r="E58" s="157">
        <v>20886.58486504521</v>
      </c>
      <c r="F58" s="157">
        <v>-48.18845218999559</v>
      </c>
      <c r="G58" s="157">
        <v>3202.791600202454</v>
      </c>
      <c r="H58" s="158">
        <v>-0.2301837782514843</v>
      </c>
      <c r="I58" s="158">
        <v>13.25158405244009</v>
      </c>
      <c r="J58" s="158">
        <v>17.967343970782636</v>
      </c>
      <c r="K58" s="178">
        <v>18.111451271995694</v>
      </c>
      <c r="L58" s="104"/>
    </row>
    <row r="59" spans="1:12" ht="11.25">
      <c r="A59" s="104"/>
      <c r="B59" s="119" t="s">
        <v>68</v>
      </c>
      <c r="C59" s="157">
        <v>10416.13238928</v>
      </c>
      <c r="D59" s="157">
        <v>9803.98292005</v>
      </c>
      <c r="E59" s="157">
        <v>9609.17292175</v>
      </c>
      <c r="F59" s="157">
        <v>-194.8099983000011</v>
      </c>
      <c r="G59" s="157">
        <v>-806.9594675299995</v>
      </c>
      <c r="H59" s="158">
        <v>-1.9870495480117336</v>
      </c>
      <c r="I59" s="158">
        <v>-5.612747070461877</v>
      </c>
      <c r="J59" s="158">
        <v>-10.267026446265104</v>
      </c>
      <c r="K59" s="178">
        <v>-7.747208247472937</v>
      </c>
      <c r="L59" s="104"/>
    </row>
    <row r="60" spans="1:12" ht="11.25">
      <c r="A60" s="104"/>
      <c r="B60" s="115" t="s">
        <v>145</v>
      </c>
      <c r="C60" s="157">
        <v>972.7521308500001</v>
      </c>
      <c r="D60" s="157">
        <v>1310.0102284499999</v>
      </c>
      <c r="E60" s="157">
        <v>583.15293917</v>
      </c>
      <c r="F60" s="157">
        <v>-726.8572892799999</v>
      </c>
      <c r="G60" s="157">
        <v>-389.5991916800001</v>
      </c>
      <c r="H60" s="158">
        <v>-55.48485603353001</v>
      </c>
      <c r="I60" s="158">
        <v>42.37233246627567</v>
      </c>
      <c r="J60" s="158">
        <v>34.30984012939684</v>
      </c>
      <c r="K60" s="178">
        <v>-40.05122983792023</v>
      </c>
      <c r="L60" s="104"/>
    </row>
    <row r="61" spans="1:12" ht="11.25">
      <c r="A61" s="104"/>
      <c r="B61" s="115" t="s">
        <v>117</v>
      </c>
      <c r="C61" s="157">
        <v>3.924901095460822</v>
      </c>
      <c r="D61" s="157">
        <v>3.93</v>
      </c>
      <c r="E61" s="157">
        <v>3.93</v>
      </c>
      <c r="F61" s="157">
        <v>0</v>
      </c>
      <c r="G61" s="157">
        <v>0.005098904539178051</v>
      </c>
      <c r="H61" s="158">
        <v>0</v>
      </c>
      <c r="I61" s="158">
        <v>0.9388507475641239</v>
      </c>
      <c r="J61" s="158">
        <v>0.7444774801506293</v>
      </c>
      <c r="K61" s="178">
        <v>0.12991166949594124</v>
      </c>
      <c r="L61" s="104"/>
    </row>
    <row r="62" spans="1:12" ht="11.25">
      <c r="A62" s="104"/>
      <c r="B62" s="115" t="s">
        <v>118</v>
      </c>
      <c r="C62" s="157">
        <v>6060.230342660549</v>
      </c>
      <c r="D62" s="157">
        <v>10440.82802613904</v>
      </c>
      <c r="E62" s="157">
        <v>10466.349483799999</v>
      </c>
      <c r="F62" s="157">
        <v>25.52145766095964</v>
      </c>
      <c r="G62" s="157">
        <v>4406.11914113945</v>
      </c>
      <c r="H62" s="158">
        <v>0.24443901955923064</v>
      </c>
      <c r="I62" s="158">
        <v>62.561124247501866</v>
      </c>
      <c r="J62" s="158">
        <v>62.115652751027554</v>
      </c>
      <c r="K62" s="178">
        <v>72.70547309271227</v>
      </c>
      <c r="L62" s="104"/>
    </row>
    <row r="63" spans="1:12" ht="11.25">
      <c r="A63" s="104"/>
      <c r="B63" s="115" t="s">
        <v>93</v>
      </c>
      <c r="C63" s="157">
        <v>539.457057639726</v>
      </c>
      <c r="D63" s="157">
        <v>1199.7546710799998</v>
      </c>
      <c r="E63" s="157">
        <v>1365.47263623</v>
      </c>
      <c r="F63" s="157">
        <v>165.71796515000028</v>
      </c>
      <c r="G63" s="157">
        <v>826.015578590274</v>
      </c>
      <c r="H63" s="158">
        <v>13.812654298801242</v>
      </c>
      <c r="I63" s="158">
        <v>88.08235438267515</v>
      </c>
      <c r="J63" s="158">
        <v>99.56127206624726</v>
      </c>
      <c r="K63" s="178">
        <v>153.11980201062175</v>
      </c>
      <c r="L63" s="104"/>
    </row>
    <row r="64" spans="1:12" ht="11.25">
      <c r="A64" s="104"/>
      <c r="B64" s="115" t="s">
        <v>94</v>
      </c>
      <c r="C64" s="157">
        <v>413.22353497999995</v>
      </c>
      <c r="D64" s="157">
        <v>34.333440450000005</v>
      </c>
      <c r="E64" s="157">
        <v>34.51688224</v>
      </c>
      <c r="F64" s="157">
        <v>0.18344178999999627</v>
      </c>
      <c r="G64" s="157">
        <v>-378.70665274</v>
      </c>
      <c r="H64" s="158">
        <v>0.5342948087802143</v>
      </c>
      <c r="I64" s="158">
        <v>-78.74391549494308</v>
      </c>
      <c r="J64" s="158">
        <v>-85.19004136234145</v>
      </c>
      <c r="K64" s="178">
        <v>-91.64692247219882</v>
      </c>
      <c r="L64" s="104"/>
    </row>
    <row r="65" spans="1:12" ht="11.25">
      <c r="A65" s="104"/>
      <c r="B65" s="115" t="s">
        <v>65</v>
      </c>
      <c r="C65" s="157">
        <v>6.863129799999999</v>
      </c>
      <c r="D65" s="157">
        <v>5.77343062</v>
      </c>
      <c r="E65" s="157">
        <v>5.77343062</v>
      </c>
      <c r="F65" s="157">
        <v>0</v>
      </c>
      <c r="G65" s="157">
        <v>-1.0896991799999993</v>
      </c>
      <c r="H65" s="158">
        <v>0</v>
      </c>
      <c r="I65" s="158">
        <v>-26.8966048784982</v>
      </c>
      <c r="J65" s="158">
        <v>-28.150150460196688</v>
      </c>
      <c r="K65" s="178">
        <v>-15.877583722808208</v>
      </c>
      <c r="L65" s="104"/>
    </row>
    <row r="66" spans="1:12" ht="11.25">
      <c r="A66" s="104"/>
      <c r="B66" s="115" t="s">
        <v>146</v>
      </c>
      <c r="C66" s="157">
        <v>0</v>
      </c>
      <c r="D66" s="157">
        <v>0</v>
      </c>
      <c r="E66" s="157">
        <v>0</v>
      </c>
      <c r="F66" s="157">
        <v>0</v>
      </c>
      <c r="G66" s="157">
        <v>0</v>
      </c>
      <c r="H66" s="158">
        <v>0</v>
      </c>
      <c r="I66" s="158">
        <v>0</v>
      </c>
      <c r="J66" s="158">
        <v>0</v>
      </c>
      <c r="K66" s="178">
        <v>0</v>
      </c>
      <c r="L66" s="104"/>
    </row>
    <row r="67" spans="1:12" ht="11.25">
      <c r="A67" s="104"/>
      <c r="B67" s="115" t="s">
        <v>147</v>
      </c>
      <c r="C67" s="157">
        <v>5774.270798538338</v>
      </c>
      <c r="D67" s="157">
        <v>6491.343743261564</v>
      </c>
      <c r="E67" s="157">
        <v>6508.133344782245</v>
      </c>
      <c r="F67" s="157">
        <v>16.789601520681572</v>
      </c>
      <c r="G67" s="157">
        <v>733.8625462439077</v>
      </c>
      <c r="H67" s="158">
        <v>0.2586460089732618</v>
      </c>
      <c r="I67" s="158">
        <v>7.824650627705654</v>
      </c>
      <c r="J67" s="158">
        <v>7.485469978922232</v>
      </c>
      <c r="K67" s="178">
        <v>12.709181329522568</v>
      </c>
      <c r="L67" s="104"/>
    </row>
    <row r="68" spans="1:12" ht="11.25">
      <c r="A68" s="104"/>
      <c r="B68" s="115" t="s">
        <v>95</v>
      </c>
      <c r="C68" s="157">
        <v>2091.430675201662</v>
      </c>
      <c r="D68" s="157">
        <v>2704.7663927634453</v>
      </c>
      <c r="E68" s="157">
        <v>2785.9396204513805</v>
      </c>
      <c r="F68" s="157">
        <v>81.1732276879352</v>
      </c>
      <c r="G68" s="157">
        <v>694.5089452497186</v>
      </c>
      <c r="H68" s="158">
        <v>3.0011178749156575</v>
      </c>
      <c r="I68" s="158">
        <v>28.063410126463673</v>
      </c>
      <c r="J68" s="158">
        <v>38.52347585527893</v>
      </c>
      <c r="K68" s="178">
        <v>33.2073615197765</v>
      </c>
      <c r="L68" s="104"/>
    </row>
    <row r="69" spans="1:12" ht="11.25" customHeight="1" hidden="1">
      <c r="A69" s="104"/>
      <c r="B69" s="115" t="s">
        <v>96</v>
      </c>
      <c r="C69" s="157">
        <v>-1.4201173712328412</v>
      </c>
      <c r="D69" s="157">
        <v>-516.9311380445206</v>
      </c>
      <c r="E69" s="157">
        <v>-744.0843312999999</v>
      </c>
      <c r="F69" s="157">
        <v>-227.15319325547932</v>
      </c>
      <c r="G69" s="157">
        <v>516.9311380445206</v>
      </c>
      <c r="H69" s="158">
        <v>43.942640815712636</v>
      </c>
      <c r="I69" s="158">
        <v>7483.862630003834</v>
      </c>
      <c r="J69" s="158">
        <v>20707.306182645254</v>
      </c>
      <c r="K69" s="178">
        <v>52295.97419007985</v>
      </c>
      <c r="L69" s="104"/>
    </row>
    <row r="70" spans="1:12" ht="12" customHeight="1" hidden="1">
      <c r="A70" s="104"/>
      <c r="B70" s="115" t="s">
        <v>96</v>
      </c>
      <c r="C70" s="148"/>
      <c r="D70" s="148"/>
      <c r="E70" s="148"/>
      <c r="F70" s="148"/>
      <c r="G70" s="148"/>
      <c r="H70" s="148"/>
      <c r="I70" s="148"/>
      <c r="J70" s="148"/>
      <c r="K70" s="179"/>
      <c r="L70" s="104"/>
    </row>
    <row r="71" spans="1:12" ht="12" customHeight="1" hidden="1" thickBot="1">
      <c r="A71" s="104"/>
      <c r="B71" s="120"/>
      <c r="C71" s="149">
        <v>0.0003965090654673986</v>
      </c>
      <c r="D71" s="149">
        <v>0.008281097390863579</v>
      </c>
      <c r="E71" s="149">
        <v>0.007949604223540518</v>
      </c>
      <c r="F71" s="149">
        <v>-0.00033149316732306033</v>
      </c>
      <c r="G71" s="149">
        <v>0.00755309515807312</v>
      </c>
      <c r="H71" s="149">
        <v>-1.1335457763550494E-06</v>
      </c>
      <c r="I71" s="149">
        <v>-1.923857866259482E-05</v>
      </c>
      <c r="J71" s="149">
        <v>-0.006882641433982428</v>
      </c>
      <c r="K71" s="180">
        <v>-0.006943386930013062</v>
      </c>
      <c r="L71" s="104"/>
    </row>
    <row r="72" spans="1:12" ht="12" customHeight="1" hidden="1">
      <c r="A72" s="104"/>
      <c r="B72" s="120"/>
      <c r="C72" s="56"/>
      <c r="D72" s="56"/>
      <c r="E72" s="56"/>
      <c r="F72" s="56"/>
      <c r="G72" s="38"/>
      <c r="H72" s="38"/>
      <c r="I72" s="38"/>
      <c r="J72" s="38"/>
      <c r="K72" s="74"/>
      <c r="L72" s="104"/>
    </row>
    <row r="73" spans="1:12" ht="12" customHeight="1" thickBot="1">
      <c r="A73" s="104"/>
      <c r="B73" s="121"/>
      <c r="C73" s="122"/>
      <c r="D73" s="122"/>
      <c r="E73" s="122"/>
      <c r="F73" s="122"/>
      <c r="G73" s="40"/>
      <c r="H73" s="40"/>
      <c r="I73" s="40"/>
      <c r="J73" s="40"/>
      <c r="K73" s="78"/>
      <c r="L73" s="104"/>
    </row>
    <row r="74" ht="11.25">
      <c r="B74" s="55"/>
    </row>
    <row r="75" spans="2:10" ht="11.25">
      <c r="B75" s="53"/>
      <c r="E75" s="191"/>
      <c r="J75" t="s">
        <v>119</v>
      </c>
    </row>
    <row r="76" ht="12" thickBot="1">
      <c r="B76" s="53"/>
    </row>
    <row r="77" spans="2:12" ht="11.25">
      <c r="B77" s="316" t="s">
        <v>75</v>
      </c>
      <c r="C77" s="317"/>
      <c r="D77" s="317"/>
      <c r="E77" s="317"/>
      <c r="F77" s="317"/>
      <c r="G77" s="317"/>
      <c r="H77" s="317"/>
      <c r="I77" s="317"/>
      <c r="J77" s="317"/>
      <c r="K77" s="318"/>
      <c r="L77" s="104"/>
    </row>
    <row r="78" spans="2:12" ht="12" thickBot="1">
      <c r="B78" s="321" t="s">
        <v>114</v>
      </c>
      <c r="C78" s="322"/>
      <c r="D78" s="322"/>
      <c r="E78" s="322"/>
      <c r="F78" s="322"/>
      <c r="G78" s="322"/>
      <c r="H78" s="322"/>
      <c r="I78" s="322"/>
      <c r="J78" s="322"/>
      <c r="K78" s="323"/>
      <c r="L78" s="104"/>
    </row>
    <row r="79" spans="2:12" ht="11.25">
      <c r="B79" s="106"/>
      <c r="C79" s="105"/>
      <c r="D79" s="43"/>
      <c r="E79" s="105"/>
      <c r="F79" s="295" t="s">
        <v>107</v>
      </c>
      <c r="G79" s="297"/>
      <c r="H79" s="125" t="s">
        <v>124</v>
      </c>
      <c r="I79" s="295" t="s">
        <v>127</v>
      </c>
      <c r="J79" s="314"/>
      <c r="K79" s="315"/>
      <c r="L79" s="104"/>
    </row>
    <row r="80" spans="2:11" ht="11.25">
      <c r="B80" s="107"/>
      <c r="C80" s="12">
        <f>C33</f>
        <v>39845</v>
      </c>
      <c r="D80" s="68">
        <f>D33</f>
        <v>40179</v>
      </c>
      <c r="E80" s="12">
        <f>E33</f>
        <v>40210</v>
      </c>
      <c r="F80" s="12" t="s">
        <v>110</v>
      </c>
      <c r="G80" s="59" t="s">
        <v>109</v>
      </c>
      <c r="H80" s="59" t="s">
        <v>128</v>
      </c>
      <c r="I80" s="12">
        <f>I33</f>
        <v>40148</v>
      </c>
      <c r="J80" s="12">
        <f>J33</f>
        <v>40179</v>
      </c>
      <c r="K80" s="171">
        <f>K33</f>
        <v>40210</v>
      </c>
    </row>
    <row r="81" spans="2:14" ht="11.25">
      <c r="B81" s="73" t="s">
        <v>53</v>
      </c>
      <c r="C81" s="159">
        <v>47815.092153076446</v>
      </c>
      <c r="D81" s="159">
        <v>55817.77285794732</v>
      </c>
      <c r="E81" s="159">
        <v>55240.202784253626</v>
      </c>
      <c r="F81" s="159">
        <v>-577.5700736936924</v>
      </c>
      <c r="G81" s="159">
        <v>7425.11063117718</v>
      </c>
      <c r="H81" s="160">
        <v>-1.034742240905189</v>
      </c>
      <c r="I81" s="160">
        <v>13.002031503924094</v>
      </c>
      <c r="J81" s="160">
        <v>13.827833788562959</v>
      </c>
      <c r="K81" s="181">
        <v>15.528801256737612</v>
      </c>
      <c r="L81" s="54"/>
      <c r="M81" s="54"/>
      <c r="N81" s="54"/>
    </row>
    <row r="82" spans="2:14" ht="11.25">
      <c r="B82" s="73" t="s">
        <v>1</v>
      </c>
      <c r="C82" s="159">
        <v>15336.850870576163</v>
      </c>
      <c r="D82" s="159">
        <v>18858.724056108378</v>
      </c>
      <c r="E82" s="159">
        <v>18283.490339990003</v>
      </c>
      <c r="F82" s="159">
        <v>-575.233716118375</v>
      </c>
      <c r="G82" s="159">
        <v>2946.63946941384</v>
      </c>
      <c r="H82" s="160">
        <v>-3.0502260619909527</v>
      </c>
      <c r="I82" s="160">
        <v>24.627913920975764</v>
      </c>
      <c r="J82" s="160">
        <v>11.875018445361786</v>
      </c>
      <c r="K82" s="181">
        <v>19.21280642473342</v>
      </c>
      <c r="L82" s="54"/>
      <c r="M82" s="54"/>
      <c r="N82" s="54"/>
    </row>
    <row r="83" spans="2:11" ht="11.25">
      <c r="B83" s="73" t="s">
        <v>72</v>
      </c>
      <c r="C83" s="159">
        <v>30044.090018650288</v>
      </c>
      <c r="D83" s="159">
        <v>33420.223409450155</v>
      </c>
      <c r="E83" s="159">
        <v>33727.36348329056</v>
      </c>
      <c r="F83" s="159">
        <v>307.1400738404045</v>
      </c>
      <c r="G83" s="159">
        <v>3683.2734646402714</v>
      </c>
      <c r="H83" s="160">
        <v>0.9190245980030022</v>
      </c>
      <c r="I83" s="160">
        <v>6.596131112894943</v>
      </c>
      <c r="J83" s="160">
        <v>11.81382365150605</v>
      </c>
      <c r="K83" s="181">
        <v>12.259560740078435</v>
      </c>
    </row>
    <row r="84" spans="2:11" ht="11.25">
      <c r="B84" s="75" t="s">
        <v>148</v>
      </c>
      <c r="C84" s="161">
        <v>-6693.999046899724</v>
      </c>
      <c r="D84" s="161">
        <v>-6751.692881629853</v>
      </c>
      <c r="E84" s="161">
        <v>-5985.224757806302</v>
      </c>
      <c r="F84" s="161">
        <v>766.4681238235517</v>
      </c>
      <c r="G84" s="161">
        <v>708.7742890934223</v>
      </c>
      <c r="H84" s="162">
        <v>-11.352236205959162</v>
      </c>
      <c r="I84" s="162">
        <v>25.911817924175207</v>
      </c>
      <c r="J84" s="162">
        <v>0.5032884944210725</v>
      </c>
      <c r="K84" s="182">
        <v>-10.58820421287161</v>
      </c>
    </row>
    <row r="85" spans="2:11" ht="11.25">
      <c r="B85" s="75" t="s">
        <v>149</v>
      </c>
      <c r="C85" s="161">
        <v>36738.08906555001</v>
      </c>
      <c r="D85" s="161">
        <v>40171.91629108001</v>
      </c>
      <c r="E85" s="161">
        <v>39712.58824109686</v>
      </c>
      <c r="F85" s="161">
        <v>-459.3280499831453</v>
      </c>
      <c r="G85" s="161">
        <v>2974.499175546851</v>
      </c>
      <c r="H85" s="162">
        <v>-1.1434058725377187</v>
      </c>
      <c r="I85" s="162">
        <v>9.047967837341098</v>
      </c>
      <c r="J85" s="162">
        <v>9.738189524337116</v>
      </c>
      <c r="K85" s="182">
        <v>8.096499440239246</v>
      </c>
    </row>
    <row r="86" spans="2:11" ht="11.25">
      <c r="B86" s="186" t="s">
        <v>47</v>
      </c>
      <c r="C86" s="161">
        <v>2520.1412598499996</v>
      </c>
      <c r="D86" s="161">
        <v>2737.53922176</v>
      </c>
      <c r="E86" s="161">
        <v>2798.83484712</v>
      </c>
      <c r="F86" s="161">
        <v>61.29562536000003</v>
      </c>
      <c r="G86" s="161">
        <v>278.69358727000053</v>
      </c>
      <c r="H86" s="162">
        <v>2.23907752162149</v>
      </c>
      <c r="I86" s="162">
        <v>5.76423183716388</v>
      </c>
      <c r="J86" s="162">
        <v>6.604838821468362</v>
      </c>
      <c r="K86" s="182">
        <v>11.058649438031454</v>
      </c>
    </row>
    <row r="87" spans="2:11" ht="11.25">
      <c r="B87" s="186" t="s">
        <v>134</v>
      </c>
      <c r="C87" s="161">
        <v>78.23304601000001</v>
      </c>
      <c r="D87" s="161">
        <v>85.11741223</v>
      </c>
      <c r="E87" s="161">
        <v>70.72793197000001</v>
      </c>
      <c r="F87" s="161">
        <v>-14.389480259999985</v>
      </c>
      <c r="G87" s="161">
        <v>-7.505114039999995</v>
      </c>
      <c r="H87" s="162">
        <v>-16.905448465840873</v>
      </c>
      <c r="I87" s="162">
        <v>4.913503034832378</v>
      </c>
      <c r="J87" s="162">
        <v>-4.7705638742564505</v>
      </c>
      <c r="K87" s="182">
        <v>-9.59327857315011</v>
      </c>
    </row>
    <row r="88" spans="2:11" ht="11.25">
      <c r="B88" s="186" t="s">
        <v>136</v>
      </c>
      <c r="C88" s="161">
        <v>524.13633568</v>
      </c>
      <c r="D88" s="161">
        <v>512.88448068</v>
      </c>
      <c r="E88" s="161">
        <v>414.83191901</v>
      </c>
      <c r="F88" s="161">
        <v>-98.05256167000005</v>
      </c>
      <c r="G88" s="161">
        <v>-109.30441667000002</v>
      </c>
      <c r="H88" s="162">
        <v>-19.117864814314242</v>
      </c>
      <c r="I88" s="162">
        <v>-23.82733770670361</v>
      </c>
      <c r="J88" s="162">
        <v>-6.180971061178841</v>
      </c>
      <c r="K88" s="182">
        <v>-20.85419560317098</v>
      </c>
    </row>
    <row r="89" spans="2:11" ht="11.25">
      <c r="B89" s="186" t="s">
        <v>123</v>
      </c>
      <c r="C89" s="161">
        <v>11691.20542326</v>
      </c>
      <c r="D89" s="161">
        <v>13422.828510360001</v>
      </c>
      <c r="E89" s="161">
        <v>13041.819337406861</v>
      </c>
      <c r="F89" s="161">
        <v>-381.00917295313957</v>
      </c>
      <c r="G89" s="161">
        <v>1350.6139141468611</v>
      </c>
      <c r="H89" s="162">
        <v>-2.8385162833531643</v>
      </c>
      <c r="I89" s="162">
        <v>17.978843686100788</v>
      </c>
      <c r="J89" s="162">
        <v>18.767621912440013</v>
      </c>
      <c r="K89" s="182">
        <v>11.552392291899816</v>
      </c>
    </row>
    <row r="90" spans="2:11" ht="11.25">
      <c r="B90" s="186" t="s">
        <v>48</v>
      </c>
      <c r="C90" s="161">
        <v>21919.520000750006</v>
      </c>
      <c r="D90" s="161">
        <v>23411.171666050006</v>
      </c>
      <c r="E90" s="161">
        <v>23383.99920559</v>
      </c>
      <c r="F90" s="161">
        <v>-27.172460460005823</v>
      </c>
      <c r="G90" s="161">
        <v>1464.479204839994</v>
      </c>
      <c r="H90" s="162">
        <v>-0.11606621337713864</v>
      </c>
      <c r="I90" s="162">
        <v>5.886058519839588</v>
      </c>
      <c r="J90" s="162">
        <v>5.949900480080905</v>
      </c>
      <c r="K90" s="182">
        <v>6.681164572900711</v>
      </c>
    </row>
    <row r="91" spans="2:11" ht="11.25">
      <c r="B91" s="186" t="s">
        <v>132</v>
      </c>
      <c r="C91" s="161">
        <v>4.853</v>
      </c>
      <c r="D91" s="161">
        <v>2.375</v>
      </c>
      <c r="E91" s="161">
        <v>2.375</v>
      </c>
      <c r="F91" s="161">
        <v>0</v>
      </c>
      <c r="G91" s="161">
        <v>-2.4779999999999998</v>
      </c>
      <c r="H91" s="162">
        <v>0</v>
      </c>
      <c r="I91" s="162">
        <v>-51.06119925819081</v>
      </c>
      <c r="J91" s="162">
        <v>-51.06119925819081</v>
      </c>
      <c r="K91" s="182">
        <v>-51.06119925819081</v>
      </c>
    </row>
    <row r="92" spans="2:14" ht="11.25">
      <c r="B92" s="72" t="s">
        <v>143</v>
      </c>
      <c r="C92" s="161">
        <v>2434.1512638499994</v>
      </c>
      <c r="D92" s="161">
        <v>3538.825392388785</v>
      </c>
      <c r="E92" s="161">
        <v>3229.348960973066</v>
      </c>
      <c r="F92" s="161">
        <v>-309.47643141571916</v>
      </c>
      <c r="G92" s="161">
        <v>795.1976971230665</v>
      </c>
      <c r="H92" s="162">
        <v>-8.745173810534228</v>
      </c>
      <c r="I92" s="162">
        <v>30.929416882787407</v>
      </c>
      <c r="J92" s="162">
        <v>54.47389670525027</v>
      </c>
      <c r="K92" s="182">
        <v>32.66837640423932</v>
      </c>
      <c r="L92" s="54"/>
      <c r="M92" s="54"/>
      <c r="N92" s="54"/>
    </row>
    <row r="93" spans="2:11" ht="11.25">
      <c r="B93" s="72"/>
      <c r="C93" s="161"/>
      <c r="D93" s="161"/>
      <c r="E93" s="161"/>
      <c r="F93" s="159"/>
      <c r="G93" s="159"/>
      <c r="H93" s="160"/>
      <c r="I93" s="160"/>
      <c r="J93" s="160"/>
      <c r="K93" s="181"/>
    </row>
    <row r="94" spans="2:14" ht="11.25">
      <c r="B94" s="73" t="s">
        <v>59</v>
      </c>
      <c r="C94" s="159">
        <v>47815.071126708346</v>
      </c>
      <c r="D94" s="159">
        <v>55817.827088851554</v>
      </c>
      <c r="E94" s="159">
        <v>55240.22862598883</v>
      </c>
      <c r="F94" s="159">
        <v>-577.5984628627266</v>
      </c>
      <c r="G94" s="159">
        <v>7425.157499280482</v>
      </c>
      <c r="H94" s="160">
        <v>-1.0347920959791175</v>
      </c>
      <c r="I94" s="160">
        <v>13.00199756942051</v>
      </c>
      <c r="J94" s="160">
        <v>13.827840847521845</v>
      </c>
      <c r="K94" s="181">
        <v>15.528906104947682</v>
      </c>
      <c r="L94" s="54"/>
      <c r="M94" s="54"/>
      <c r="N94" s="54"/>
    </row>
    <row r="95" spans="2:11" ht="11.25">
      <c r="B95" s="73" t="s">
        <v>73</v>
      </c>
      <c r="C95" s="159">
        <v>29447.637637372995</v>
      </c>
      <c r="D95" s="159">
        <v>31995.317813722024</v>
      </c>
      <c r="E95" s="159">
        <v>31742.724793915208</v>
      </c>
      <c r="F95" s="159">
        <v>-252.5930198068163</v>
      </c>
      <c r="G95" s="159">
        <v>2295.087156542213</v>
      </c>
      <c r="H95" s="160">
        <v>-0.7894687006312068</v>
      </c>
      <c r="I95" s="160">
        <v>5.925217492896051</v>
      </c>
      <c r="J95" s="160">
        <v>6.6364361142849715</v>
      </c>
      <c r="K95" s="181">
        <v>7.793790404529566</v>
      </c>
    </row>
    <row r="96" spans="2:11" ht="11.25">
      <c r="B96" s="75" t="s">
        <v>150</v>
      </c>
      <c r="C96" s="161">
        <v>1234.811379884782</v>
      </c>
      <c r="D96" s="161">
        <v>1127.588478886819</v>
      </c>
      <c r="E96" s="161">
        <v>1117.61768683</v>
      </c>
      <c r="F96" s="161">
        <v>-9.970792056819164</v>
      </c>
      <c r="G96" s="161">
        <v>-117.19369305478199</v>
      </c>
      <c r="H96" s="162">
        <v>-0.8842580643128383</v>
      </c>
      <c r="I96" s="162">
        <v>1.4244346209796754</v>
      </c>
      <c r="J96" s="162">
        <v>-7.393703221820392</v>
      </c>
      <c r="K96" s="182">
        <v>-9.490817380199168</v>
      </c>
    </row>
    <row r="97" spans="2:11" ht="11.25">
      <c r="B97" s="75" t="s">
        <v>151</v>
      </c>
      <c r="C97" s="161">
        <v>17792.768967112755</v>
      </c>
      <c r="D97" s="161">
        <v>21059.816414785204</v>
      </c>
      <c r="E97" s="161">
        <v>21012.00418533521</v>
      </c>
      <c r="F97" s="161">
        <v>-47.81222944999536</v>
      </c>
      <c r="G97" s="161">
        <v>3219.235218222453</v>
      </c>
      <c r="H97" s="162">
        <v>-0.22703060894884355</v>
      </c>
      <c r="I97" s="162">
        <v>13.234804687318814</v>
      </c>
      <c r="J97" s="162">
        <v>17.93679321372892</v>
      </c>
      <c r="K97" s="182">
        <v>18.092941150265716</v>
      </c>
    </row>
    <row r="98" spans="2:13" ht="11.25">
      <c r="B98" s="75" t="s">
        <v>152</v>
      </c>
      <c r="C98" s="161">
        <v>10416.13238928</v>
      </c>
      <c r="D98" s="161">
        <v>9803.98292005</v>
      </c>
      <c r="E98" s="161">
        <v>9609.17292175</v>
      </c>
      <c r="F98" s="161">
        <v>-194.8099983000011</v>
      </c>
      <c r="G98" s="161">
        <v>-806.9594675299995</v>
      </c>
      <c r="H98" s="162">
        <v>-1.9870495480117336</v>
      </c>
      <c r="I98" s="162">
        <v>-5.612747070461877</v>
      </c>
      <c r="J98" s="162">
        <v>-10.267026446265104</v>
      </c>
      <c r="K98" s="182">
        <v>-7.747208247472937</v>
      </c>
      <c r="L98" s="54"/>
      <c r="M98" s="54"/>
    </row>
    <row r="99" spans="2:11" ht="11.25">
      <c r="B99" s="75" t="s">
        <v>105</v>
      </c>
      <c r="C99" s="161">
        <v>3.924901095460822</v>
      </c>
      <c r="D99" s="161">
        <v>3.93</v>
      </c>
      <c r="E99" s="161">
        <v>3.93</v>
      </c>
      <c r="F99" s="161">
        <v>0</v>
      </c>
      <c r="G99" s="161">
        <v>0.005098904539178051</v>
      </c>
      <c r="H99" s="162">
        <v>0</v>
      </c>
      <c r="I99" s="162">
        <v>0.9388507475641239</v>
      </c>
      <c r="J99" s="162">
        <v>0.7444774801506293</v>
      </c>
      <c r="K99" s="182">
        <v>0.12991166949594124</v>
      </c>
    </row>
    <row r="100" spans="2:14" ht="11.25">
      <c r="B100" s="72" t="s">
        <v>153</v>
      </c>
      <c r="C100" s="161">
        <v>18371.358390430807</v>
      </c>
      <c r="D100" s="161">
        <v>23826.43927512953</v>
      </c>
      <c r="E100" s="161">
        <v>23501.43383207362</v>
      </c>
      <c r="F100" s="161">
        <v>-325.0054430559103</v>
      </c>
      <c r="G100" s="161">
        <v>5130.0754416428135</v>
      </c>
      <c r="H100" s="162">
        <v>-1.3640537694407273</v>
      </c>
      <c r="I100" s="162">
        <v>24.06431789259735</v>
      </c>
      <c r="J100" s="162">
        <v>25.159585267309858</v>
      </c>
      <c r="K100" s="182">
        <v>27.92431203299015</v>
      </c>
      <c r="N100" s="54"/>
    </row>
    <row r="101" spans="2:11" ht="12" thickBot="1">
      <c r="B101" s="123"/>
      <c r="C101" s="168"/>
      <c r="D101" s="168"/>
      <c r="E101" s="168"/>
      <c r="F101" s="169"/>
      <c r="G101" s="169"/>
      <c r="H101" s="170"/>
      <c r="I101" s="170"/>
      <c r="J101" s="170"/>
      <c r="K101" s="183"/>
    </row>
    <row r="102" spans="2:13" ht="12" customHeight="1" hidden="1" thickBot="1">
      <c r="B102" s="39" t="s">
        <v>74</v>
      </c>
      <c r="C102" s="163">
        <v>-0.04460191907855915</v>
      </c>
      <c r="D102" s="163">
        <v>0.032116302601934876</v>
      </c>
      <c r="E102" s="163">
        <v>0.027842465773574077</v>
      </c>
      <c r="F102" s="163">
        <v>-0.0042738368283608</v>
      </c>
      <c r="G102" s="163">
        <v>0.07244438485213323</v>
      </c>
      <c r="H102" s="163">
        <v>-9.360482351006283E-06</v>
      </c>
      <c r="I102" s="163">
        <v>-7.466518900756114E-05</v>
      </c>
      <c r="J102" s="163">
        <v>3.393450358402106E-05</v>
      </c>
      <c r="K102" s="163">
        <v>0.00016020336095579069</v>
      </c>
      <c r="L102" s="54"/>
      <c r="M102" s="54"/>
    </row>
    <row r="103" spans="2:11" ht="11.25">
      <c r="B103" s="31"/>
      <c r="C103" s="31"/>
      <c r="D103" s="31"/>
      <c r="E103" s="31"/>
      <c r="F103" s="31"/>
      <c r="G103" s="31"/>
      <c r="H103" s="31"/>
      <c r="I103" s="31"/>
      <c r="J103" s="31"/>
      <c r="K103" s="31"/>
    </row>
  </sheetData>
  <sheetProtection/>
  <mergeCells count="12">
    <mergeCell ref="B31:K31"/>
    <mergeCell ref="F4:G4"/>
    <mergeCell ref="I4:K4"/>
    <mergeCell ref="I32:K32"/>
    <mergeCell ref="I79:K79"/>
    <mergeCell ref="F32:G32"/>
    <mergeCell ref="F79:G79"/>
    <mergeCell ref="B2:K2"/>
    <mergeCell ref="B3:K3"/>
    <mergeCell ref="B77:K77"/>
    <mergeCell ref="B78:K78"/>
    <mergeCell ref="B30:K30"/>
  </mergeCells>
  <printOptions/>
  <pageMargins left="0.75" right="0.75" top="1" bottom="1" header="0.5" footer="0.5"/>
  <pageSetup fitToHeight="1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 of Namibia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Steytler</dc:creator>
  <cp:keywords/>
  <dc:description/>
  <cp:lastModifiedBy>ham442</cp:lastModifiedBy>
  <cp:lastPrinted>2010-04-06T11:28:08Z</cp:lastPrinted>
  <dcterms:created xsi:type="dcterms:W3CDTF">1999-07-02T10:21:54Z</dcterms:created>
  <dcterms:modified xsi:type="dcterms:W3CDTF">2010-04-06T15:56:40Z</dcterms:modified>
  <cp:category/>
  <cp:version/>
  <cp:contentType/>
  <cp:contentStatus/>
</cp:coreProperties>
</file>