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" yWindow="2388" windowWidth="9588" windowHeight="5736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'S2'!$A$1:$L$35</definedName>
    <definedName name="_xlnm.Print_Area" localSheetId="4">'S4'!$A$1:$B$82</definedName>
    <definedName name="_xlnm.Print_Area" localSheetId="5">'S5'!$A$1:$K$63</definedName>
    <definedName name="_xlnm.Print_Area" localSheetId="6">'S6'!$B$2:$Q$20</definedName>
    <definedName name="_xlnm.Print_Area" localSheetId="7">'S7'!$A$1:$O$74</definedName>
    <definedName name="_xlnm.Print_Area" localSheetId="8">'S8'!$B$77:$K$101</definedName>
    <definedName name="Z_1119964D_FB32_11D4_9C51_0090277BCB1A_.wvu.Cols" localSheetId="6" hidden="1">'S6'!$B:$B</definedName>
    <definedName name="Z_1119964D_FB32_11D4_9C51_0090277BCB1A_.wvu.PrintArea" localSheetId="2" hidden="1">'S2'!$A$1:$L$36</definedName>
    <definedName name="Z_1119964D_FB32_11D4_9C51_0090277BCB1A_.wvu.PrintArea" localSheetId="4" hidden="1">'S4'!$A$2:$A$82</definedName>
    <definedName name="Z_1119964D_FB32_11D4_9C51_0090277BCB1A_.wvu.PrintArea" localSheetId="5" hidden="1">'S5'!$A$1:$K$63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'S2'!$A$1:$L$36</definedName>
    <definedName name="Z_4BE07961_847F_11D4_A83A_00D0B7747A8F_.wvu.PrintArea" localSheetId="4" hidden="1">'S4'!$A$2:$A$82</definedName>
    <definedName name="Z_4BE07961_847F_11D4_A83A_00D0B7747A8F_.wvu.PrintArea" localSheetId="5" hidden="1">'S5'!$A$1:$K$63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'S2'!$A$1:$L$36</definedName>
    <definedName name="Z_5050E6E2_8401_11D4_81A4_00608C91AED9_.wvu.PrintArea" localSheetId="4" hidden="1">'S4'!$A$2:$A$82</definedName>
    <definedName name="Z_5050E6E2_8401_11D4_81A4_00608C91AED9_.wvu.PrintArea" localSheetId="5" hidden="1">'S5'!$A$1:$K$63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<sst xmlns="http://schemas.openxmlformats.org/spreadsheetml/2006/main" count="254" uniqueCount="175">
  <si>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</si>
  <si>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</si>
  <si>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</si>
  <si>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</si>
  <si>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</si>
  <si>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</si>
  <si>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</si>
  <si>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</si>
  <si>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</si>
  <si>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</si>
  <si>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</si>
  <si>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</si>
  <si>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</si>
  <si>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</si>
  <si>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</si>
  <si>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</si>
  <si>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</si>
  <si>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</si>
  <si>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</si>
  <si>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</si>
  <si>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</si>
  <si>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</si>
  <si>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</si>
  <si>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</si>
  <si>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</si>
  <si>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</si>
  <si>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</si>
  <si>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</si>
  <si>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</si>
  <si>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</si>
  <si>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</si>
  <si>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</si>
  <si>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</si>
  <si>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</si>
  <si>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</si>
  <si>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</si>
  <si>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</si>
  <si>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</si>
  <si>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</si>
  <si>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</si>
  <si>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</si>
  <si>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</si>
  <si>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</si>
  <si>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</si>
  <si>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</si>
  <si>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</si>
  <si>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</si>
  <si>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</si>
  <si>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</si>
  <si>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</si>
  <si>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</si>
  <si>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</si>
  <si>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</si>
  <si>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</si>
  <si>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</si>
  <si>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</si>
  <si>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</si>
  <si>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</si>
  <si>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</si>
  <si>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</si>
  <si>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</si>
  <si>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</si>
  <si>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</si>
  <si>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</si>
  <si>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</si>
  <si>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</si>
  <si>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</si>
  <si>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</si>
  <si>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</si>
  <si>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</si>
  <si>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</si>
  <si>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</si>
  <si>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</si>
  <si>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</si>
  <si>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</si>
  <si>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</si>
  <si>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</si>
  <si>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</si>
  <si>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</si>
  <si>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</si>
  <si>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</si>
  <si>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</si>
  <si>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Money and Banking Statistics</t>
  </si>
  <si>
    <t>Central government</t>
  </si>
  <si>
    <t>Liabilities to central government</t>
  </si>
  <si>
    <t>Central bank</t>
  </si>
  <si>
    <t>State and local governments</t>
  </si>
  <si>
    <t>Financial Derivatives</t>
  </si>
  <si>
    <t xml:space="preserve">   Other financial corporations</t>
  </si>
  <si>
    <t xml:space="preserve">   State and local government</t>
  </si>
  <si>
    <t xml:space="preserve">   Other resident sectors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</si>
  <si>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</si>
  <si>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</si>
  <si>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</si>
  <si>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</si>
  <si>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</si>
  <si>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</si>
  <si>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</si>
  <si>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</si>
  <si>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</si>
  <si>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</si>
  <si>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</si>
  <si>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</si>
  <si>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</si>
  <si>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</si>
  <si>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</si>
  <si>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</si>
  <si>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</si>
  <si>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</si>
  <si>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</si>
  <si>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</si>
  <si>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</si>
  <si>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</si>
  <si>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</si>
  <si>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</si>
  <si>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</si>
  <si>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</si>
  <si>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</si>
  <si>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</si>
  <si>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</si>
  <si>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</si>
  <si>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</si>
  <si>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</si>
  <si>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</si>
  <si>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</si>
  <si>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</si>
  <si>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</si>
  <si>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</si>
  <si>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Selected interest rates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</si>
  <si>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</si>
  <si>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</si>
  <si>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</si>
  <si>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</si>
  <si>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</si>
  <si>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</si>
  <si>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</si>
  <si>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</si>
  <si>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</si>
  <si>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</si>
  <si>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</si>
  <si>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</si>
  <si>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</si>
  <si>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</si>
  <si>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</si>
  <si>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</si>
  <si>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</si>
  <si>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</si>
  <si>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</si>
  <si>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</si>
  <si>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>n/a stands for not available</t>
  </si>
  <si>
    <t xml:space="preserve">       International reserves** and exchange rates</t>
  </si>
  <si>
    <t xml:space="preserve">    Money Supply (annual  percentage changes)</t>
  </si>
  <si>
    <t>Domestic  and other sectors claims (month-on-month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</si>
  <si>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</si>
  <si>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</si>
  <si>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</si>
  <si>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non-financial corporations (Businesses)</t>
  </si>
  <si>
    <t>Other resident sectors (Individuals)</t>
  </si>
  <si>
    <t xml:space="preserve">   Public non-financial corporations</t>
  </si>
  <si>
    <t xml:space="preserve">   Other non-financial corporations</t>
  </si>
  <si>
    <t>Net claims on Central Government</t>
  </si>
  <si>
    <t>Public non-financial corporations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</si>
  <si>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</si>
  <si>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</si>
  <si>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</si>
  <si>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</si>
  <si>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</si>
  <si>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</si>
  <si>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 xml:space="preserve">             U.S Dollar/Namibia Dollar exchange rate</t>
  </si>
  <si>
    <t>Domestic claims vs claims on other sectors (annual percentage changes)</t>
  </si>
  <si>
    <t xml:space="preserve"> NSX indices</t>
  </si>
  <si>
    <t>Money and Banking Statistics*</t>
  </si>
  <si>
    <t>Total Claims on the Private Sector*</t>
  </si>
  <si>
    <t>Claims on other sectors*</t>
  </si>
  <si>
    <t xml:space="preserve">* The changes observed in the values and growth rates of these variables were due to misclassifications of transactions by one of the  data sources.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</si>
</sst>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</numFmts>
  <fonts count="13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37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"/>
      <name val="Univers"/>
      <family val="0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b/>
      <sz val="12"/>
      <color indexed="60"/>
      <name val="Univers"/>
      <family val="0"/>
    </font>
    <font>
      <sz val="17.5"/>
      <color indexed="8"/>
      <name val="Arial"/>
      <family val="2"/>
    </font>
    <font>
      <sz val="9.5"/>
      <color indexed="16"/>
      <name val="Arial"/>
      <family val="2"/>
    </font>
    <font>
      <sz val="10.5"/>
      <color indexed="16"/>
      <name val="Arial"/>
      <family val="2"/>
    </font>
    <font>
      <sz val="8.85"/>
      <color indexed="16"/>
      <name val="Arial"/>
      <family val="2"/>
    </font>
    <font>
      <sz val="18.75"/>
      <color indexed="8"/>
      <name val="Arial"/>
      <family val="2"/>
    </font>
    <font>
      <sz val="8.75"/>
      <color indexed="16"/>
      <name val="Arial"/>
      <family val="2"/>
    </font>
    <font>
      <sz val="8.45"/>
      <color indexed="1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45"/>
      <color indexed="8"/>
      <name val="Arial"/>
      <family val="2"/>
    </font>
    <font>
      <sz val="14"/>
      <color indexed="16"/>
      <name val="Arial"/>
      <family val="2"/>
    </font>
    <font>
      <sz val="12"/>
      <color indexed="16"/>
      <name val="Arial"/>
      <family val="2"/>
    </font>
    <font>
      <sz val="9.2"/>
      <color indexed="16"/>
      <name val="Arial"/>
      <family val="2"/>
    </font>
    <font>
      <sz val="12"/>
      <color indexed="25"/>
      <name val="Arial"/>
      <family val="2"/>
    </font>
    <font>
      <sz val="13.75"/>
      <color indexed="16"/>
      <name val="Arial"/>
      <family val="2"/>
    </font>
    <font>
      <sz val="10"/>
      <color indexed="25"/>
      <name val="Arial"/>
      <family val="2"/>
    </font>
    <font>
      <sz val="9"/>
      <color indexed="25"/>
      <name val="Arial"/>
      <family val="2"/>
    </font>
    <font>
      <sz val="9.25"/>
      <color indexed="25"/>
      <name val="Arial"/>
      <family val="2"/>
    </font>
    <font>
      <sz val="11"/>
      <color indexed="8"/>
      <name val="Arial"/>
      <family val="2"/>
    </font>
    <font>
      <sz val="11.5"/>
      <color indexed="16"/>
      <name val="Arial"/>
      <family val="2"/>
    </font>
    <font>
      <sz val="9.9"/>
      <color indexed="16"/>
      <name val="Arial"/>
      <family val="2"/>
    </font>
    <font>
      <sz val="8"/>
      <color indexed="25"/>
      <name val="Arial"/>
      <family val="2"/>
    </font>
    <font>
      <sz val="16"/>
      <color indexed="16"/>
      <name val="Arial"/>
      <family val="2"/>
    </font>
    <font>
      <sz val="15.5"/>
      <color indexed="8"/>
      <name val="Arial"/>
      <family val="2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b/>
      <sz val="12"/>
      <color theme="5" tint="-0.24997000396251678"/>
      <name val="Univers"/>
      <family val="0"/>
    </font>
    <font>
      <sz val="9"/>
      <color rgb="FF993366"/>
      <name val="Univers"/>
      <family val="0"/>
    </font>
    <font>
      <sz val="8"/>
      <color rgb="FF993366"/>
      <name val="Univers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solid">
        <fgColor rgb="FF99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0" applyNumberFormat="0" applyBorder="0" applyAlignment="0" applyProtection="0"/>
    <xf numFmtId="0" fontId="112" fillId="27" borderId="1" applyNumberFormat="0" applyAlignment="0" applyProtection="0"/>
    <xf numFmtId="0" fontId="11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9" fillId="30" borderId="1" applyNumberFormat="0" applyAlignment="0" applyProtection="0"/>
    <xf numFmtId="0" fontId="120" fillId="0" borderId="6" applyNumberFormat="0" applyFill="0" applyAlignment="0" applyProtection="0"/>
    <xf numFmtId="0" fontId="121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191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43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2" fontId="9" fillId="35" borderId="20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7" fontId="4" fillId="36" borderId="17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1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2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26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84" fontId="4" fillId="39" borderId="18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91" fontId="55" fillId="35" borderId="18" xfId="111" applyNumberFormat="1" applyFont="1" applyFill="1" applyBorder="1">
      <alignment/>
      <protection/>
    </xf>
    <xf numFmtId="184" fontId="55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5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27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0" fillId="34" borderId="0" xfId="0" applyNumberFormat="1" applyFont="1" applyFill="1" applyAlignment="1">
      <alignment horizontal="left"/>
    </xf>
    <xf numFmtId="0" fontId="61" fillId="0" borderId="0" xfId="0" applyFont="1" applyAlignment="1">
      <alignment horizontal="left"/>
    </xf>
    <xf numFmtId="0" fontId="49" fillId="34" borderId="0" xfId="0" applyNumberFormat="1" applyFont="1" applyFill="1" applyAlignment="1">
      <alignment horizontal="left"/>
    </xf>
    <xf numFmtId="0" fontId="5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46" fontId="13" fillId="33" borderId="41" xfId="0" applyNumberFormat="1" applyFont="1" applyFill="1" applyBorder="1" applyAlignment="1">
      <alignment horizontal="center"/>
    </xf>
    <xf numFmtId="0" fontId="128" fillId="0" borderId="0" xfId="0" applyFont="1" applyAlignment="1">
      <alignment/>
    </xf>
    <xf numFmtId="0" fontId="129" fillId="0" borderId="0" xfId="0" applyFont="1" applyAlignment="1">
      <alignment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09"/>
          <c:w val="0.9522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Chart'!$BJ$2:$BV$2</c:f>
              <c:numCache>
                <c:ptCount val="13"/>
                <c:pt idx="0">
                  <c:v>39172</c:v>
                </c:pt>
                <c:pt idx="1">
                  <c:v>39202</c:v>
                </c:pt>
                <c:pt idx="2">
                  <c:v>39233</c:v>
                </c:pt>
                <c:pt idx="3">
                  <c:v>39263</c:v>
                </c:pt>
                <c:pt idx="4">
                  <c:v>39294</c:v>
                </c:pt>
                <c:pt idx="5">
                  <c:v>39325</c:v>
                </c:pt>
                <c:pt idx="6">
                  <c:v>39355</c:v>
                </c:pt>
                <c:pt idx="7">
                  <c:v>39386</c:v>
                </c:pt>
                <c:pt idx="8">
                  <c:v>39416</c:v>
                </c:pt>
                <c:pt idx="9">
                  <c:v>39447</c:v>
                </c:pt>
                <c:pt idx="10">
                  <c:v>39478</c:v>
                </c:pt>
                <c:pt idx="11">
                  <c:v>39507</c:v>
                </c:pt>
                <c:pt idx="12">
                  <c:v>39538</c:v>
                </c:pt>
              </c:numCache>
            </c:numRef>
          </c:cat>
          <c:val>
            <c:numRef>
              <c:f>'[2]M1 M2 Chart'!$BJ$9:$BV$9</c:f>
              <c:numCache>
                <c:ptCount val="13"/>
                <c:pt idx="0">
                  <c:v>-2.0163592435092164</c:v>
                </c:pt>
                <c:pt idx="1">
                  <c:v>2.124264004786151</c:v>
                </c:pt>
                <c:pt idx="2">
                  <c:v>1.8639134323938458</c:v>
                </c:pt>
                <c:pt idx="3">
                  <c:v>-4.265278640754327</c:v>
                </c:pt>
                <c:pt idx="4">
                  <c:v>10.478186527242048</c:v>
                </c:pt>
                <c:pt idx="5">
                  <c:v>0.3334290290081349</c:v>
                </c:pt>
                <c:pt idx="6">
                  <c:v>3.06292270218074</c:v>
                </c:pt>
                <c:pt idx="7">
                  <c:v>-2.7589108000328078</c:v>
                </c:pt>
                <c:pt idx="8">
                  <c:v>4.833875888547043</c:v>
                </c:pt>
                <c:pt idx="9">
                  <c:v>-5.312478287553805</c:v>
                </c:pt>
                <c:pt idx="10">
                  <c:v>4.434503079596363</c:v>
                </c:pt>
                <c:pt idx="11">
                  <c:v>6.974092845707876</c:v>
                </c:pt>
                <c:pt idx="12">
                  <c:v>-2.4745243551078944</c:v>
                </c:pt>
              </c:numCache>
            </c:numRef>
          </c:val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Chart'!$BJ$2:$BV$2</c:f>
              <c:numCache>
                <c:ptCount val="13"/>
                <c:pt idx="0">
                  <c:v>39172</c:v>
                </c:pt>
                <c:pt idx="1">
                  <c:v>39202</c:v>
                </c:pt>
                <c:pt idx="2">
                  <c:v>39233</c:v>
                </c:pt>
                <c:pt idx="3">
                  <c:v>39263</c:v>
                </c:pt>
                <c:pt idx="4">
                  <c:v>39294</c:v>
                </c:pt>
                <c:pt idx="5">
                  <c:v>39325</c:v>
                </c:pt>
                <c:pt idx="6">
                  <c:v>39355</c:v>
                </c:pt>
                <c:pt idx="7">
                  <c:v>39386</c:v>
                </c:pt>
                <c:pt idx="8">
                  <c:v>39416</c:v>
                </c:pt>
                <c:pt idx="9">
                  <c:v>39447</c:v>
                </c:pt>
                <c:pt idx="10">
                  <c:v>39478</c:v>
                </c:pt>
                <c:pt idx="11">
                  <c:v>39507</c:v>
                </c:pt>
                <c:pt idx="12">
                  <c:v>39538</c:v>
                </c:pt>
              </c:numCache>
            </c:numRef>
          </c:cat>
          <c:val>
            <c:numRef>
              <c:f>'[2]M1 M2 Chart'!$BJ$10:$BV$10</c:f>
              <c:numCache>
                <c:ptCount val="13"/>
                <c:pt idx="0">
                  <c:v>1.2216558177303205</c:v>
                </c:pt>
                <c:pt idx="1">
                  <c:v>0.2938067770753827</c:v>
                </c:pt>
                <c:pt idx="2">
                  <c:v>0.41015757279167386</c:v>
                </c:pt>
                <c:pt idx="3">
                  <c:v>-10.514576369690575</c:v>
                </c:pt>
                <c:pt idx="4">
                  <c:v>17.23661372104195</c:v>
                </c:pt>
                <c:pt idx="5">
                  <c:v>1.5324787126917128</c:v>
                </c:pt>
                <c:pt idx="6">
                  <c:v>-4.208677112895326</c:v>
                </c:pt>
                <c:pt idx="7">
                  <c:v>-1.0470173444796127</c:v>
                </c:pt>
                <c:pt idx="8">
                  <c:v>6.12893564211624</c:v>
                </c:pt>
                <c:pt idx="9">
                  <c:v>-8.523006302918688</c:v>
                </c:pt>
                <c:pt idx="10">
                  <c:v>5.97477485036336</c:v>
                </c:pt>
                <c:pt idx="11">
                  <c:v>13.002097574932087</c:v>
                </c:pt>
                <c:pt idx="12">
                  <c:v>-1.3524626113997604</c:v>
                </c:pt>
              </c:numCache>
            </c:numRef>
          </c:val>
        </c:ser>
        <c:axId val="59387758"/>
        <c:axId val="64727775"/>
      </c:barChart>
      <c:dateAx>
        <c:axId val="593877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64727775"/>
        <c:crosses val="autoZero"/>
        <c:auto val="0"/>
        <c:noMultiLvlLbl val="0"/>
      </c:dateAx>
      <c:valAx>
        <c:axId val="6472777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59387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455"/>
          <c:w val="0.567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0875"/>
          <c:w val="0.958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chart'!$BI$10:$BU$10</c:f>
              <c:numCache>
                <c:ptCount val="13"/>
                <c:pt idx="0">
                  <c:v>39172</c:v>
                </c:pt>
                <c:pt idx="1">
                  <c:v>39202</c:v>
                </c:pt>
                <c:pt idx="2">
                  <c:v>39233</c:v>
                </c:pt>
                <c:pt idx="3">
                  <c:v>39263</c:v>
                </c:pt>
                <c:pt idx="4">
                  <c:v>39294</c:v>
                </c:pt>
                <c:pt idx="5">
                  <c:v>39325</c:v>
                </c:pt>
                <c:pt idx="6">
                  <c:v>39355</c:v>
                </c:pt>
                <c:pt idx="7">
                  <c:v>39386</c:v>
                </c:pt>
                <c:pt idx="8">
                  <c:v>39416</c:v>
                </c:pt>
                <c:pt idx="9">
                  <c:v>39447</c:v>
                </c:pt>
                <c:pt idx="10">
                  <c:v>39478</c:v>
                </c:pt>
                <c:pt idx="11">
                  <c:v>39507</c:v>
                </c:pt>
                <c:pt idx="12">
                  <c:v>39538</c:v>
                </c:pt>
              </c:numCache>
            </c:numRef>
          </c:cat>
          <c:val>
            <c:numRef>
              <c:f>'[2] PSC chart'!$BI$11:$BU$11</c:f>
              <c:numCache>
                <c:ptCount val="13"/>
                <c:pt idx="0">
                  <c:v>-1.106040406635616</c:v>
                </c:pt>
                <c:pt idx="1">
                  <c:v>-2.5080256273845984</c:v>
                </c:pt>
                <c:pt idx="2">
                  <c:v>3.6996475995276263</c:v>
                </c:pt>
                <c:pt idx="3">
                  <c:v>0.6628882707765882</c:v>
                </c:pt>
                <c:pt idx="4">
                  <c:v>1.3635344568103014</c:v>
                </c:pt>
                <c:pt idx="5">
                  <c:v>4.022601386657635</c:v>
                </c:pt>
                <c:pt idx="6">
                  <c:v>3.3917655819846364</c:v>
                </c:pt>
                <c:pt idx="7">
                  <c:v>0.5402862829611639</c:v>
                </c:pt>
                <c:pt idx="8">
                  <c:v>1.660624901114965</c:v>
                </c:pt>
                <c:pt idx="9">
                  <c:v>-2.4445681059629747</c:v>
                </c:pt>
                <c:pt idx="10">
                  <c:v>-4.1058920991125785</c:v>
                </c:pt>
                <c:pt idx="11">
                  <c:v>4.100410590801487</c:v>
                </c:pt>
                <c:pt idx="12">
                  <c:v>2.039518532370704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chart'!$BI$10:$BU$10</c:f>
              <c:numCache>
                <c:ptCount val="13"/>
                <c:pt idx="0">
                  <c:v>39172</c:v>
                </c:pt>
                <c:pt idx="1">
                  <c:v>39202</c:v>
                </c:pt>
                <c:pt idx="2">
                  <c:v>39233</c:v>
                </c:pt>
                <c:pt idx="3">
                  <c:v>39263</c:v>
                </c:pt>
                <c:pt idx="4">
                  <c:v>39294</c:v>
                </c:pt>
                <c:pt idx="5">
                  <c:v>39325</c:v>
                </c:pt>
                <c:pt idx="6">
                  <c:v>39355</c:v>
                </c:pt>
                <c:pt idx="7">
                  <c:v>39386</c:v>
                </c:pt>
                <c:pt idx="8">
                  <c:v>39416</c:v>
                </c:pt>
                <c:pt idx="9">
                  <c:v>39447</c:v>
                </c:pt>
                <c:pt idx="10">
                  <c:v>39478</c:v>
                </c:pt>
                <c:pt idx="11">
                  <c:v>39507</c:v>
                </c:pt>
                <c:pt idx="12">
                  <c:v>39538</c:v>
                </c:pt>
              </c:numCache>
            </c:numRef>
          </c:cat>
          <c:val>
            <c:numRef>
              <c:f>'[2] PSC chart'!$BI$12:$BU$12</c:f>
              <c:numCache>
                <c:ptCount val="13"/>
                <c:pt idx="0">
                  <c:v>0.8044225669316779</c:v>
                </c:pt>
                <c:pt idx="1">
                  <c:v>4.801631911530528</c:v>
                </c:pt>
                <c:pt idx="2">
                  <c:v>0.13441753430499181</c:v>
                </c:pt>
                <c:pt idx="3">
                  <c:v>1.6600517682014835</c:v>
                </c:pt>
                <c:pt idx="4">
                  <c:v>0.4982491808369909</c:v>
                </c:pt>
                <c:pt idx="5">
                  <c:v>0.6463034678748828</c:v>
                </c:pt>
                <c:pt idx="6">
                  <c:v>0.7472609684208106</c:v>
                </c:pt>
                <c:pt idx="7">
                  <c:v>2.2304735975610637</c:v>
                </c:pt>
                <c:pt idx="8">
                  <c:v>1.0897117174263635</c:v>
                </c:pt>
                <c:pt idx="9">
                  <c:v>0.12874632848443096</c:v>
                </c:pt>
                <c:pt idx="10">
                  <c:v>-3.2557773224077593</c:v>
                </c:pt>
                <c:pt idx="11">
                  <c:v>1.7631459638475206</c:v>
                </c:pt>
                <c:pt idx="12">
                  <c:v>1.2906821953446157</c:v>
                </c:pt>
              </c:numCache>
            </c:numRef>
          </c:val>
        </c:ser>
        <c:axId val="45679064"/>
        <c:axId val="8458393"/>
      </c:barChart>
      <c:dateAx>
        <c:axId val="456790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8458393"/>
        <c:crosses val="autoZero"/>
        <c:auto val="0"/>
        <c:noMultiLvlLbl val="0"/>
      </c:dateAx>
      <c:valAx>
        <c:axId val="8458393"/>
        <c:scaling>
          <c:orientation val="minMax"/>
          <c:max val="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45679064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5"/>
          <c:y val="0.93"/>
          <c:w val="0.565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5"/>
          <c:w val="0.9865"/>
          <c:h val="0.93375"/>
        </c:manualLayout>
      </c:layout>
      <c:lineChart>
        <c:grouping val="standard"/>
        <c:varyColors val="0"/>
        <c:ser>
          <c:idx val="2"/>
          <c:order val="0"/>
          <c:tx>
            <c:strRef>
              <c:f>'[2]M1 M2 Chart'!$A$11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Chart'!$X$7:$BV$8</c:f>
              <c:multiLvlStrCache>
                <c:ptCount val="5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</c:lvl>
                <c:lvl>
                  <c:pt idx="0">
                    <c:v>Jun-05</c:v>
                  </c:pt>
                  <c:pt idx="12">
                    <c:v>Jun-05</c:v>
                  </c:pt>
                  <c:pt idx="24">
                    <c:v>Jun-05</c:v>
                  </c:pt>
                  <c:pt idx="36">
                    <c:v>Jun-05</c:v>
                  </c:pt>
                  <c:pt idx="48">
                    <c:v>Jun-05</c:v>
                  </c:pt>
                </c:lvl>
              </c:multiLvlStrCache>
            </c:multiLvlStrRef>
          </c:cat>
          <c:val>
            <c:numRef>
              <c:f>'[2]M1 M2 Chart'!$X$11:$BV$11</c:f>
              <c:numCache>
                <c:ptCount val="51"/>
                <c:pt idx="0">
                  <c:v>6.708472586799004</c:v>
                </c:pt>
                <c:pt idx="1">
                  <c:v>9.162929365199345</c:v>
                </c:pt>
                <c:pt idx="2">
                  <c:v>14.103107824172808</c:v>
                </c:pt>
                <c:pt idx="3">
                  <c:v>10.1157503826273</c:v>
                </c:pt>
                <c:pt idx="4">
                  <c:v>8.043431517454408</c:v>
                </c:pt>
                <c:pt idx="5">
                  <c:v>9.029904884573552</c:v>
                </c:pt>
                <c:pt idx="6">
                  <c:v>7.623626196917267</c:v>
                </c:pt>
                <c:pt idx="7">
                  <c:v>14.147864601254994</c:v>
                </c:pt>
                <c:pt idx="8">
                  <c:v>13.399013004805251</c:v>
                </c:pt>
                <c:pt idx="9">
                  <c:v>26.91471820167706</c:v>
                </c:pt>
                <c:pt idx="10">
                  <c:v>28.43292705997598</c:v>
                </c:pt>
                <c:pt idx="11">
                  <c:v>23.082050291463833</c:v>
                </c:pt>
                <c:pt idx="12">
                  <c:v>16.538687155325153</c:v>
                </c:pt>
                <c:pt idx="13">
                  <c:v>15.303727323478943</c:v>
                </c:pt>
                <c:pt idx="14">
                  <c:v>17.334716730838885</c:v>
                </c:pt>
                <c:pt idx="15">
                  <c:v>21.901284041668706</c:v>
                </c:pt>
                <c:pt idx="16">
                  <c:v>20.75920820157945</c:v>
                </c:pt>
                <c:pt idx="17">
                  <c:v>23.18722087156746</c:v>
                </c:pt>
                <c:pt idx="18">
                  <c:v>22.591461060481823</c:v>
                </c:pt>
                <c:pt idx="19">
                  <c:v>14.30857884274027</c:v>
                </c:pt>
                <c:pt idx="20">
                  <c:v>8.740192688647696</c:v>
                </c:pt>
                <c:pt idx="21">
                  <c:v>5.600245642508166</c:v>
                </c:pt>
                <c:pt idx="22">
                  <c:v>3.486411400545582</c:v>
                </c:pt>
                <c:pt idx="23">
                  <c:v>6.957496298699314</c:v>
                </c:pt>
                <c:pt idx="24">
                  <c:v>10.467469385872825</c:v>
                </c:pt>
                <c:pt idx="25">
                  <c:v>9.32170177349062</c:v>
                </c:pt>
                <c:pt idx="26">
                  <c:v>13.058876176810239</c:v>
                </c:pt>
                <c:pt idx="27">
                  <c:v>11.722179750339523</c:v>
                </c:pt>
                <c:pt idx="28">
                  <c:v>17.96161978101182</c:v>
                </c:pt>
                <c:pt idx="29">
                  <c:v>22.341854854594366</c:v>
                </c:pt>
                <c:pt idx="30">
                  <c:v>21.50861483567151</c:v>
                </c:pt>
                <c:pt idx="31">
                  <c:v>21.24580440769997</c:v>
                </c:pt>
                <c:pt idx="32">
                  <c:v>28.11691526946669</c:v>
                </c:pt>
                <c:pt idx="33">
                  <c:v>30.688964057060687</c:v>
                </c:pt>
                <c:pt idx="34">
                  <c:v>33.51784933593404</c:v>
                </c:pt>
                <c:pt idx="35">
                  <c:v>33.27292546248745</c:v>
                </c:pt>
                <c:pt idx="36">
                  <c:v>36.245862401954795</c:v>
                </c:pt>
                <c:pt idx="37">
                  <c:v>31.9119765500753</c:v>
                </c:pt>
                <c:pt idx="38">
                  <c:v>20.451213792334176</c:v>
                </c:pt>
                <c:pt idx="39">
                  <c:v>20.57619596874494</c:v>
                </c:pt>
                <c:pt idx="40">
                  <c:v>19.18412093758493</c:v>
                </c:pt>
                <c:pt idx="41">
                  <c:v>9.481877583444891</c:v>
                </c:pt>
                <c:pt idx="42">
                  <c:v>18.507489126733244</c:v>
                </c:pt>
                <c:pt idx="43">
                  <c:v>20.882745498877515</c:v>
                </c:pt>
                <c:pt idx="44">
                  <c:v>19.474266018797934</c:v>
                </c:pt>
                <c:pt idx="45">
                  <c:v>12.384320244783757</c:v>
                </c:pt>
                <c:pt idx="46">
                  <c:v>15.840379335351768</c:v>
                </c:pt>
                <c:pt idx="47">
                  <c:v>10.062477904328034</c:v>
                </c:pt>
                <c:pt idx="48">
                  <c:v>11.460330077294199</c:v>
                </c:pt>
                <c:pt idx="49">
                  <c:v>20.216427242318847</c:v>
                </c:pt>
                <c:pt idx="50">
                  <c:v>19.654303071608005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'[2]M1 M2 Chart'!$A$12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Chart'!$X$7:$BV$8</c:f>
              <c:multiLvlStrCache>
                <c:ptCount val="5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</c:lvl>
                <c:lvl>
                  <c:pt idx="0">
                    <c:v>Jun-05</c:v>
                  </c:pt>
                  <c:pt idx="12">
                    <c:v>Jun-05</c:v>
                  </c:pt>
                  <c:pt idx="24">
                    <c:v>Jun-05</c:v>
                  </c:pt>
                  <c:pt idx="36">
                    <c:v>Jun-05</c:v>
                  </c:pt>
                  <c:pt idx="48">
                    <c:v>Jun-05</c:v>
                  </c:pt>
                </c:lvl>
              </c:multiLvlStrCache>
            </c:multiLvlStrRef>
          </c:cat>
          <c:val>
            <c:numRef>
              <c:f>'[2]M1 M2 Chart'!$X$12:$BV$12</c:f>
              <c:numCache>
                <c:ptCount val="51"/>
                <c:pt idx="0">
                  <c:v>12.17695923224616</c:v>
                </c:pt>
                <c:pt idx="1">
                  <c:v>14.809586621437166</c:v>
                </c:pt>
                <c:pt idx="2">
                  <c:v>24.860442931710324</c:v>
                </c:pt>
                <c:pt idx="3">
                  <c:v>25.778812990231565</c:v>
                </c:pt>
                <c:pt idx="4">
                  <c:v>19.045709350453908</c:v>
                </c:pt>
                <c:pt idx="5">
                  <c:v>16.660896288820425</c:v>
                </c:pt>
                <c:pt idx="6">
                  <c:v>9.264785123226286</c:v>
                </c:pt>
                <c:pt idx="7">
                  <c:v>20.591988272940128</c:v>
                </c:pt>
                <c:pt idx="8">
                  <c:v>15.068787077717605</c:v>
                </c:pt>
                <c:pt idx="9">
                  <c:v>24.3479266700754</c:v>
                </c:pt>
                <c:pt idx="10">
                  <c:v>25.80113464150362</c:v>
                </c:pt>
                <c:pt idx="11">
                  <c:v>21.770389118274764</c:v>
                </c:pt>
                <c:pt idx="12">
                  <c:v>12.225875344938842</c:v>
                </c:pt>
                <c:pt idx="13">
                  <c:v>6.595013046120579</c:v>
                </c:pt>
                <c:pt idx="14">
                  <c:v>15.886860938538478</c:v>
                </c:pt>
                <c:pt idx="15">
                  <c:v>9.924449446070735</c:v>
                </c:pt>
                <c:pt idx="16">
                  <c:v>15.532440700348676</c:v>
                </c:pt>
                <c:pt idx="17">
                  <c:v>16.637004293188074</c:v>
                </c:pt>
                <c:pt idx="18">
                  <c:v>22.66878572661799</c:v>
                </c:pt>
                <c:pt idx="19">
                  <c:v>11.106527694039181</c:v>
                </c:pt>
                <c:pt idx="20">
                  <c:v>8.30485210612106</c:v>
                </c:pt>
                <c:pt idx="21">
                  <c:v>1.7427824178059406</c:v>
                </c:pt>
                <c:pt idx="22">
                  <c:v>-3.511051013186294</c:v>
                </c:pt>
                <c:pt idx="23">
                  <c:v>0.9312304565954364</c:v>
                </c:pt>
                <c:pt idx="24">
                  <c:v>13.166114327041779</c:v>
                </c:pt>
                <c:pt idx="25">
                  <c:v>16.95502495386894</c:v>
                </c:pt>
                <c:pt idx="26">
                  <c:v>16.166660434611096</c:v>
                </c:pt>
                <c:pt idx="27">
                  <c:v>18.93799654870505</c:v>
                </c:pt>
                <c:pt idx="28">
                  <c:v>19.876495173907863</c:v>
                </c:pt>
                <c:pt idx="29">
                  <c:v>24.00802385012584</c:v>
                </c:pt>
                <c:pt idx="30">
                  <c:v>21.77549276056539</c:v>
                </c:pt>
                <c:pt idx="31">
                  <c:v>21.806119180287585</c:v>
                </c:pt>
                <c:pt idx="32">
                  <c:v>30.352043064481972</c:v>
                </c:pt>
                <c:pt idx="33">
                  <c:v>45.595760275382325</c:v>
                </c:pt>
                <c:pt idx="34">
                  <c:v>48.84197654846546</c:v>
                </c:pt>
                <c:pt idx="35">
                  <c:v>42.232112070127755</c:v>
                </c:pt>
                <c:pt idx="36">
                  <c:v>45.75189121214182</c:v>
                </c:pt>
                <c:pt idx="37">
                  <c:v>39.9726087567036</c:v>
                </c:pt>
                <c:pt idx="38">
                  <c:v>29.676602336435</c:v>
                </c:pt>
                <c:pt idx="39">
                  <c:v>29.97275095388825</c:v>
                </c:pt>
                <c:pt idx="40">
                  <c:v>25.39717055363792</c:v>
                </c:pt>
                <c:pt idx="41">
                  <c:v>10.488377789332132</c:v>
                </c:pt>
                <c:pt idx="42">
                  <c:v>25.611306640508612</c:v>
                </c:pt>
                <c:pt idx="43">
                  <c:v>29.187098356069065</c:v>
                </c:pt>
                <c:pt idx="44">
                  <c:v>18.555388027698847</c:v>
                </c:pt>
                <c:pt idx="45">
                  <c:v>5.1749797268932625</c:v>
                </c:pt>
                <c:pt idx="46">
                  <c:v>12.261170986193255</c:v>
                </c:pt>
                <c:pt idx="47">
                  <c:v>6.825594746946906</c:v>
                </c:pt>
                <c:pt idx="48">
                  <c:v>6.741619276185361</c:v>
                </c:pt>
                <c:pt idx="49">
                  <c:v>19.65628492625853</c:v>
                </c:pt>
                <c:pt idx="50">
                  <c:v>16.613364459273143</c:v>
                </c:pt>
              </c:numCache>
            </c:numRef>
          </c:val>
          <c:smooth val="1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  <c:max val="5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6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325"/>
          <c:y val="0.94425"/>
          <c:w val="0.536"/>
          <c:h val="0.04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275"/>
          <c:w val="0.9792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chart'!$B$16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chart'!$Y$14:$BW$15</c:f>
              <c:multiLvlStrCache>
                <c:ptCount val="5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</c:lvl>
                <c:lvl>
                  <c:pt idx="0">
                    <c:v>Jun-05</c:v>
                  </c:pt>
                  <c:pt idx="12">
                    <c:v>Jun-05</c:v>
                  </c:pt>
                  <c:pt idx="24">
                    <c:v>Jun-05</c:v>
                  </c:pt>
                  <c:pt idx="36">
                    <c:v>Jun-05</c:v>
                  </c:pt>
                  <c:pt idx="48">
                    <c:v>Jun-05</c:v>
                  </c:pt>
                </c:lvl>
              </c:multiLvlStrCache>
            </c:multiLvlStrRef>
          </c:cat>
          <c:val>
            <c:numRef>
              <c:f>'[2] PSC chart'!$Y$16:$BW$16</c:f>
              <c:numCache>
                <c:ptCount val="51"/>
                <c:pt idx="0">
                  <c:v>20.453958221035194</c:v>
                </c:pt>
                <c:pt idx="1">
                  <c:v>20.014987647067283</c:v>
                </c:pt>
                <c:pt idx="2">
                  <c:v>18.358405189936235</c:v>
                </c:pt>
                <c:pt idx="3">
                  <c:v>13.083722256054223</c:v>
                </c:pt>
                <c:pt idx="4">
                  <c:v>19.109176241175934</c:v>
                </c:pt>
                <c:pt idx="5">
                  <c:v>18.293631304555543</c:v>
                </c:pt>
                <c:pt idx="6">
                  <c:v>18.92960243506075</c:v>
                </c:pt>
                <c:pt idx="7">
                  <c:v>21.59050090268985</c:v>
                </c:pt>
                <c:pt idx="8">
                  <c:v>22.48206231722378</c:v>
                </c:pt>
                <c:pt idx="9">
                  <c:v>26.45756592379212</c:v>
                </c:pt>
                <c:pt idx="10">
                  <c:v>22.78900324586196</c:v>
                </c:pt>
                <c:pt idx="11">
                  <c:v>22.469875252343385</c:v>
                </c:pt>
                <c:pt idx="12">
                  <c:v>21.642055652360025</c:v>
                </c:pt>
                <c:pt idx="13">
                  <c:v>18.676243470110734</c:v>
                </c:pt>
                <c:pt idx="14">
                  <c:v>17.541837286935706</c:v>
                </c:pt>
                <c:pt idx="15">
                  <c:v>22.41024885984043</c:v>
                </c:pt>
                <c:pt idx="16">
                  <c:v>19.054370209530845</c:v>
                </c:pt>
                <c:pt idx="17">
                  <c:v>20.84745909882378</c:v>
                </c:pt>
                <c:pt idx="18">
                  <c:v>20.44798163161769</c:v>
                </c:pt>
                <c:pt idx="19">
                  <c:v>20.063741152264868</c:v>
                </c:pt>
                <c:pt idx="20">
                  <c:v>19.179013225197146</c:v>
                </c:pt>
                <c:pt idx="21">
                  <c:v>17.271640982355947</c:v>
                </c:pt>
                <c:pt idx="22">
                  <c:v>17.23534428133733</c:v>
                </c:pt>
                <c:pt idx="23">
                  <c:v>23.59044224897467</c:v>
                </c:pt>
                <c:pt idx="24">
                  <c:v>18.716895349796566</c:v>
                </c:pt>
                <c:pt idx="25">
                  <c:v>19.3695364739865</c:v>
                </c:pt>
                <c:pt idx="26">
                  <c:v>19.34718521906825</c:v>
                </c:pt>
                <c:pt idx="27">
                  <c:v>13.837898231517887</c:v>
                </c:pt>
                <c:pt idx="28">
                  <c:v>14.78128141706128</c:v>
                </c:pt>
                <c:pt idx="29">
                  <c:v>15.281463963110983</c:v>
                </c:pt>
                <c:pt idx="30">
                  <c:v>13.527803529135873</c:v>
                </c:pt>
                <c:pt idx="31">
                  <c:v>13.800807703584814</c:v>
                </c:pt>
                <c:pt idx="32">
                  <c:v>11.969343802905993</c:v>
                </c:pt>
                <c:pt idx="33">
                  <c:v>11.111313543103517</c:v>
                </c:pt>
                <c:pt idx="34">
                  <c:v>11.50567701955221</c:v>
                </c:pt>
                <c:pt idx="35">
                  <c:v>4.733928512796796</c:v>
                </c:pt>
                <c:pt idx="36">
                  <c:v>4.259352442556983</c:v>
                </c:pt>
                <c:pt idx="37">
                  <c:v>4.8823225303615505</c:v>
                </c:pt>
                <c:pt idx="38">
                  <c:v>2.8887908490402405</c:v>
                </c:pt>
                <c:pt idx="39">
                  <c:v>3.1335287428281324</c:v>
                </c:pt>
                <c:pt idx="40">
                  <c:v>2.466533409315342</c:v>
                </c:pt>
                <c:pt idx="41">
                  <c:v>0.4752296252192467</c:v>
                </c:pt>
                <c:pt idx="42">
                  <c:v>3.629437672415049</c:v>
                </c:pt>
                <c:pt idx="43">
                  <c:v>5.107197784512811</c:v>
                </c:pt>
                <c:pt idx="44">
                  <c:v>8.444783546722638</c:v>
                </c:pt>
                <c:pt idx="45">
                  <c:v>10.726446036993126</c:v>
                </c:pt>
                <c:pt idx="46">
                  <c:v>9.28828934144513</c:v>
                </c:pt>
                <c:pt idx="47">
                  <c:v>6.389855630749929</c:v>
                </c:pt>
                <c:pt idx="48">
                  <c:v>8.549355669475837</c:v>
                </c:pt>
                <c:pt idx="49">
                  <c:v>9.21176379071649</c:v>
                </c:pt>
                <c:pt idx="50">
                  <c:v>12.685505172385117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chart'!$B$17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chart'!$Y$14:$BW$15</c:f>
              <c:multiLvlStrCache>
                <c:ptCount val="5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</c:lvl>
                <c:lvl>
                  <c:pt idx="0">
                    <c:v>Jun-05</c:v>
                  </c:pt>
                  <c:pt idx="12">
                    <c:v>Jun-05</c:v>
                  </c:pt>
                  <c:pt idx="24">
                    <c:v>Jun-05</c:v>
                  </c:pt>
                  <c:pt idx="36">
                    <c:v>Jun-05</c:v>
                  </c:pt>
                  <c:pt idx="48">
                    <c:v>Jun-05</c:v>
                  </c:pt>
                </c:lvl>
              </c:multiLvlStrCache>
            </c:multiLvlStrRef>
          </c:cat>
          <c:val>
            <c:numRef>
              <c:f>'[2] PSC chart'!$Y$17:$BW$17</c:f>
              <c:numCache>
                <c:ptCount val="51"/>
                <c:pt idx="0">
                  <c:v>17.525095281771076</c:v>
                </c:pt>
                <c:pt idx="1">
                  <c:v>17.514959321924213</c:v>
                </c:pt>
                <c:pt idx="2">
                  <c:v>17.533739746734184</c:v>
                </c:pt>
                <c:pt idx="3">
                  <c:v>17.242341921412706</c:v>
                </c:pt>
                <c:pt idx="4">
                  <c:v>20.742112326714015</c:v>
                </c:pt>
                <c:pt idx="5">
                  <c:v>17.163437315082174</c:v>
                </c:pt>
                <c:pt idx="6">
                  <c:v>19.4446130519431</c:v>
                </c:pt>
                <c:pt idx="7">
                  <c:v>20.79599151003212</c:v>
                </c:pt>
                <c:pt idx="8">
                  <c:v>20.450938930910425</c:v>
                </c:pt>
                <c:pt idx="9">
                  <c:v>21.675133695843478</c:v>
                </c:pt>
                <c:pt idx="10">
                  <c:v>19.925113195008496</c:v>
                </c:pt>
                <c:pt idx="11">
                  <c:v>19.900391907560014</c:v>
                </c:pt>
                <c:pt idx="12">
                  <c:v>20.124941677147802</c:v>
                </c:pt>
                <c:pt idx="13">
                  <c:v>18.43953366109137</c:v>
                </c:pt>
                <c:pt idx="14">
                  <c:v>17.32217877519808</c:v>
                </c:pt>
                <c:pt idx="15">
                  <c:v>18.255467118152392</c:v>
                </c:pt>
                <c:pt idx="16">
                  <c:v>16.653269981874743</c:v>
                </c:pt>
                <c:pt idx="17">
                  <c:v>16.31028713895807</c:v>
                </c:pt>
                <c:pt idx="18">
                  <c:v>17.315428056736764</c:v>
                </c:pt>
                <c:pt idx="19">
                  <c:v>15.999384107757844</c:v>
                </c:pt>
                <c:pt idx="20">
                  <c:v>16.150117974657395</c:v>
                </c:pt>
                <c:pt idx="21">
                  <c:v>15.711393084983182</c:v>
                </c:pt>
                <c:pt idx="22">
                  <c:v>16.05589799242577</c:v>
                </c:pt>
                <c:pt idx="23">
                  <c:v>21.41816096137786</c:v>
                </c:pt>
                <c:pt idx="24">
                  <c:v>15.504992800843546</c:v>
                </c:pt>
                <c:pt idx="25">
                  <c:v>18.55663655485431</c:v>
                </c:pt>
                <c:pt idx="26">
                  <c:v>18.263674993225184</c:v>
                </c:pt>
                <c:pt idx="27">
                  <c:v>17.305102600240936</c:v>
                </c:pt>
                <c:pt idx="28">
                  <c:v>16.89334773676143</c:v>
                </c:pt>
                <c:pt idx="29">
                  <c:v>17.892645752916714</c:v>
                </c:pt>
                <c:pt idx="30">
                  <c:v>18.520542153419395</c:v>
                </c:pt>
                <c:pt idx="31">
                  <c:v>18.146228563752615</c:v>
                </c:pt>
                <c:pt idx="32">
                  <c:v>16.373563476355997</c:v>
                </c:pt>
                <c:pt idx="33">
                  <c:v>16.6952286507554</c:v>
                </c:pt>
                <c:pt idx="34">
                  <c:v>14.493460988593782</c:v>
                </c:pt>
                <c:pt idx="35">
                  <c:v>9.154562432737496</c:v>
                </c:pt>
                <c:pt idx="36">
                  <c:v>10.674838553479</c:v>
                </c:pt>
                <c:pt idx="37">
                  <c:v>9.189922722282262</c:v>
                </c:pt>
                <c:pt idx="38">
                  <c:v>10.324316974015776</c:v>
                </c:pt>
                <c:pt idx="39">
                  <c:v>13.423418211811558</c:v>
                </c:pt>
                <c:pt idx="40">
                  <c:v>11.707013468188627</c:v>
                </c:pt>
                <c:pt idx="41">
                  <c:v>12.962526151365283</c:v>
                </c:pt>
                <c:pt idx="42">
                  <c:v>10.515857922774114</c:v>
                </c:pt>
                <c:pt idx="43">
                  <c:v>10.94617467796916</c:v>
                </c:pt>
                <c:pt idx="44">
                  <c:v>11.710975440178258</c:v>
                </c:pt>
                <c:pt idx="45">
                  <c:v>12.534675482952787</c:v>
                </c:pt>
                <c:pt idx="46">
                  <c:v>13.58435504733306</c:v>
                </c:pt>
                <c:pt idx="47">
                  <c:v>12.986705235429508</c:v>
                </c:pt>
                <c:pt idx="48">
                  <c:v>11.356768676110567</c:v>
                </c:pt>
                <c:pt idx="49">
                  <c:v>11.643278048071178</c:v>
                </c:pt>
                <c:pt idx="50">
                  <c:v>12.181822067431158</c:v>
                </c:pt>
              </c:numCache>
            </c:numRef>
          </c:val>
          <c:smooth val="1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61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3625"/>
          <c:w val="0.608"/>
          <c:h val="0.04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65"/>
          <c:w val="0.9615"/>
          <c:h val="0.9057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'[3]Data'!$C$203:$C$215</c:f>
              <c:numCache>
                <c:ptCount val="13"/>
                <c:pt idx="0">
                  <c:v>39143</c:v>
                </c:pt>
                <c:pt idx="1">
                  <c:v>39174</c:v>
                </c:pt>
                <c:pt idx="2">
                  <c:v>39204</c:v>
                </c:pt>
                <c:pt idx="3">
                  <c:v>39235</c:v>
                </c:pt>
                <c:pt idx="4">
                  <c:v>39265</c:v>
                </c:pt>
                <c:pt idx="5">
                  <c:v>39296</c:v>
                </c:pt>
                <c:pt idx="6">
                  <c:v>39327</c:v>
                </c:pt>
                <c:pt idx="7">
                  <c:v>39357</c:v>
                </c:pt>
                <c:pt idx="8">
                  <c:v>39388</c:v>
                </c:pt>
                <c:pt idx="9">
                  <c:v>39418</c:v>
                </c:pt>
                <c:pt idx="10">
                  <c:v>39449</c:v>
                </c:pt>
                <c:pt idx="11">
                  <c:v>39480</c:v>
                </c:pt>
                <c:pt idx="12">
                  <c:v>39509</c:v>
                </c:pt>
              </c:numCache>
            </c:numRef>
          </c:cat>
          <c:val>
            <c:numRef>
              <c:f>'[3]Data'!$E$203:$E$215</c:f>
              <c:numCach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9.5</c:v>
                </c:pt>
                <c:pt idx="4">
                  <c:v>9.5</c:v>
                </c:pt>
                <c:pt idx="5">
                  <c:v>10</c:v>
                </c:pt>
                <c:pt idx="6">
                  <c:v>10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'[3]Data'!$C$203:$C$215</c:f>
              <c:numCache>
                <c:ptCount val="13"/>
                <c:pt idx="0">
                  <c:v>39143</c:v>
                </c:pt>
                <c:pt idx="1">
                  <c:v>39174</c:v>
                </c:pt>
                <c:pt idx="2">
                  <c:v>39204</c:v>
                </c:pt>
                <c:pt idx="3">
                  <c:v>39235</c:v>
                </c:pt>
                <c:pt idx="4">
                  <c:v>39265</c:v>
                </c:pt>
                <c:pt idx="5">
                  <c:v>39296</c:v>
                </c:pt>
                <c:pt idx="6">
                  <c:v>39327</c:v>
                </c:pt>
                <c:pt idx="7">
                  <c:v>39357</c:v>
                </c:pt>
                <c:pt idx="8">
                  <c:v>39388</c:v>
                </c:pt>
                <c:pt idx="9">
                  <c:v>39418</c:v>
                </c:pt>
                <c:pt idx="10">
                  <c:v>39449</c:v>
                </c:pt>
                <c:pt idx="11">
                  <c:v>39480</c:v>
                </c:pt>
                <c:pt idx="12">
                  <c:v>39509</c:v>
                </c:pt>
              </c:numCache>
            </c:numRef>
          </c:cat>
          <c:val>
            <c:numRef>
              <c:f>'[3]Data'!$J$203:$J$215</c:f>
              <c:numCache>
                <c:ptCount val="13"/>
                <c:pt idx="0">
                  <c:v>7.22</c:v>
                </c:pt>
                <c:pt idx="1">
                  <c:v>7.18</c:v>
                </c:pt>
                <c:pt idx="2">
                  <c:v>7.34</c:v>
                </c:pt>
                <c:pt idx="3">
                  <c:v>7.24</c:v>
                </c:pt>
                <c:pt idx="4">
                  <c:v>7.49</c:v>
                </c:pt>
                <c:pt idx="5">
                  <c:v>7.68</c:v>
                </c:pt>
                <c:pt idx="6">
                  <c:v>7.74</c:v>
                </c:pt>
                <c:pt idx="7">
                  <c:v>7.95</c:v>
                </c:pt>
                <c:pt idx="8">
                  <c:v>8.08</c:v>
                </c:pt>
                <c:pt idx="9">
                  <c:v>8.28</c:v>
                </c:pt>
                <c:pt idx="10">
                  <c:v>8.13</c:v>
                </c:pt>
                <c:pt idx="11">
                  <c:v>8.23</c:v>
                </c:pt>
                <c:pt idx="12">
                  <c:v>8.35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'[3]Data'!$C$203:$C$215</c:f>
              <c:numCache>
                <c:ptCount val="13"/>
                <c:pt idx="0">
                  <c:v>39143</c:v>
                </c:pt>
                <c:pt idx="1">
                  <c:v>39174</c:v>
                </c:pt>
                <c:pt idx="2">
                  <c:v>39204</c:v>
                </c:pt>
                <c:pt idx="3">
                  <c:v>39235</c:v>
                </c:pt>
                <c:pt idx="4">
                  <c:v>39265</c:v>
                </c:pt>
                <c:pt idx="5">
                  <c:v>39296</c:v>
                </c:pt>
                <c:pt idx="6">
                  <c:v>39327</c:v>
                </c:pt>
                <c:pt idx="7">
                  <c:v>39357</c:v>
                </c:pt>
                <c:pt idx="8">
                  <c:v>39388</c:v>
                </c:pt>
                <c:pt idx="9">
                  <c:v>39418</c:v>
                </c:pt>
                <c:pt idx="10">
                  <c:v>39449</c:v>
                </c:pt>
                <c:pt idx="11">
                  <c:v>39480</c:v>
                </c:pt>
                <c:pt idx="12">
                  <c:v>39509</c:v>
                </c:pt>
              </c:numCache>
            </c:numRef>
          </c:cat>
          <c:val>
            <c:numRef>
              <c:f>'[3]Data'!$K$203:$K$215</c:f>
              <c:numCache>
                <c:ptCount val="13"/>
                <c:pt idx="0">
                  <c:v>11.9</c:v>
                </c:pt>
                <c:pt idx="1">
                  <c:v>12.44</c:v>
                </c:pt>
                <c:pt idx="2">
                  <c:v>12.65</c:v>
                </c:pt>
                <c:pt idx="3">
                  <c:v>12.22</c:v>
                </c:pt>
                <c:pt idx="4">
                  <c:v>13.03</c:v>
                </c:pt>
                <c:pt idx="5">
                  <c:v>12.85</c:v>
                </c:pt>
                <c:pt idx="6">
                  <c:v>12.89</c:v>
                </c:pt>
                <c:pt idx="7">
                  <c:v>13.56</c:v>
                </c:pt>
                <c:pt idx="8">
                  <c:v>14.53</c:v>
                </c:pt>
                <c:pt idx="9">
                  <c:v>13.59</c:v>
                </c:pt>
                <c:pt idx="10">
                  <c:v>14.01</c:v>
                </c:pt>
                <c:pt idx="11">
                  <c:v>14.18</c:v>
                </c:pt>
                <c:pt idx="12">
                  <c:v>13.93</c:v>
                </c:pt>
              </c:numCache>
            </c:numRef>
          </c:val>
          <c:smooth val="1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50972295"/>
        <c:crossesAt val="0"/>
        <c:auto val="1"/>
        <c:lblOffset val="100"/>
        <c:tickLblSkip val="1"/>
        <c:noMultiLvlLbl val="0"/>
      </c:catAx>
      <c:valAx>
        <c:axId val="50972295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"/>
              <c:y val="0.010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5489750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25"/>
          <c:y val="0.934"/>
          <c:w val="0.614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875"/>
          <c:w val="0.96"/>
          <c:h val="0.947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indices'!$B$137:$B$149</c:f>
              <c:numCache>
                <c:ptCount val="13"/>
                <c:pt idx="0">
                  <c:v>39172</c:v>
                </c:pt>
                <c:pt idx="1">
                  <c:v>39202</c:v>
                </c:pt>
                <c:pt idx="2">
                  <c:v>39233</c:v>
                </c:pt>
                <c:pt idx="3">
                  <c:v>39263</c:v>
                </c:pt>
                <c:pt idx="4">
                  <c:v>39294</c:v>
                </c:pt>
                <c:pt idx="5">
                  <c:v>39325</c:v>
                </c:pt>
                <c:pt idx="6">
                  <c:v>39355</c:v>
                </c:pt>
                <c:pt idx="7">
                  <c:v>39386</c:v>
                </c:pt>
                <c:pt idx="8">
                  <c:v>39416</c:v>
                </c:pt>
                <c:pt idx="9">
                  <c:v>39447</c:v>
                </c:pt>
                <c:pt idx="10">
                  <c:v>39478</c:v>
                </c:pt>
                <c:pt idx="11">
                  <c:v>39507</c:v>
                </c:pt>
                <c:pt idx="12">
                  <c:v>39538</c:v>
                </c:pt>
              </c:numCache>
            </c:numRef>
          </c:cat>
          <c:val>
            <c:numRef>
              <c:f>'[4]Monthly indices'!$C$137:$C$149</c:f>
              <c:numCache>
                <c:ptCount val="13"/>
                <c:pt idx="0">
                  <c:v>911.26</c:v>
                </c:pt>
                <c:pt idx="1">
                  <c:v>935</c:v>
                </c:pt>
                <c:pt idx="2">
                  <c:v>977</c:v>
                </c:pt>
                <c:pt idx="3">
                  <c:v>936</c:v>
                </c:pt>
                <c:pt idx="4">
                  <c:v>936</c:v>
                </c:pt>
                <c:pt idx="5">
                  <c:v>927</c:v>
                </c:pt>
                <c:pt idx="6">
                  <c:v>972</c:v>
                </c:pt>
                <c:pt idx="7">
                  <c:v>1016</c:v>
                </c:pt>
                <c:pt idx="8">
                  <c:v>996</c:v>
                </c:pt>
                <c:pt idx="9">
                  <c:v>929</c:v>
                </c:pt>
                <c:pt idx="10">
                  <c:v>837</c:v>
                </c:pt>
                <c:pt idx="11">
                  <c:v>988</c:v>
                </c:pt>
                <c:pt idx="12">
                  <c:v>939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6097472"/>
        <c:axId val="35115201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indices'!$B$137:$B$149</c:f>
              <c:numCache>
                <c:ptCount val="13"/>
                <c:pt idx="0">
                  <c:v>39172</c:v>
                </c:pt>
                <c:pt idx="1">
                  <c:v>39202</c:v>
                </c:pt>
                <c:pt idx="2">
                  <c:v>39233</c:v>
                </c:pt>
                <c:pt idx="3">
                  <c:v>39263</c:v>
                </c:pt>
                <c:pt idx="4">
                  <c:v>39294</c:v>
                </c:pt>
                <c:pt idx="5">
                  <c:v>39325</c:v>
                </c:pt>
                <c:pt idx="6">
                  <c:v>39355</c:v>
                </c:pt>
                <c:pt idx="7">
                  <c:v>39386</c:v>
                </c:pt>
                <c:pt idx="8">
                  <c:v>39416</c:v>
                </c:pt>
                <c:pt idx="9">
                  <c:v>39447</c:v>
                </c:pt>
                <c:pt idx="10">
                  <c:v>39478</c:v>
                </c:pt>
                <c:pt idx="11">
                  <c:v>39507</c:v>
                </c:pt>
                <c:pt idx="12">
                  <c:v>39538</c:v>
                </c:pt>
              </c:numCache>
            </c:numRef>
          </c:cat>
          <c:val>
            <c:numRef>
              <c:f>'[4]Monthly indices'!$D$137:$D$149</c:f>
              <c:numCache>
                <c:ptCount val="13"/>
                <c:pt idx="0">
                  <c:v>101.61</c:v>
                </c:pt>
                <c:pt idx="1">
                  <c:v>101.61</c:v>
                </c:pt>
                <c:pt idx="2">
                  <c:v>104</c:v>
                </c:pt>
                <c:pt idx="3">
                  <c:v>105</c:v>
                </c:pt>
                <c:pt idx="4">
                  <c:v>108</c:v>
                </c:pt>
                <c:pt idx="5">
                  <c:v>109</c:v>
                </c:pt>
                <c:pt idx="6">
                  <c:v>116</c:v>
                </c:pt>
                <c:pt idx="7">
                  <c:v>129</c:v>
                </c:pt>
                <c:pt idx="8">
                  <c:v>132</c:v>
                </c:pt>
                <c:pt idx="9">
                  <c:v>133</c:v>
                </c:pt>
                <c:pt idx="10">
                  <c:v>136</c:v>
                </c:pt>
                <c:pt idx="11">
                  <c:v>137</c:v>
                </c:pt>
                <c:pt idx="12">
                  <c:v>139</c:v>
                </c:pt>
              </c:numCache>
            </c:numRef>
          </c:val>
          <c:smooth val="1"/>
        </c:ser>
        <c:marker val="1"/>
        <c:axId val="47601354"/>
        <c:axId val="25759003"/>
      </c:lineChart>
      <c:catAx>
        <c:axId val="56097472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800000"/>
                </a:solidFill>
              </a:defRPr>
            </a:pPr>
          </a:p>
        </c:tx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  <c:max val="105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56097472"/>
        <c:crossesAt val="1"/>
        <c:crossBetween val="between"/>
        <c:dispUnits/>
        <c:majorUnit val="50"/>
        <c:minorUnit val="10"/>
      </c:valAx>
      <c:catAx>
        <c:axId val="47601354"/>
        <c:scaling>
          <c:orientation val="minMax"/>
        </c:scaling>
        <c:axPos val="b"/>
        <c:delete val="1"/>
        <c:majorTickMark val="out"/>
        <c:minorTickMark val="none"/>
        <c:tickLblPos val="nextTo"/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4760135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38"/>
          <c:w val="0.495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5575"/>
          <c:h val="0.93475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-NCPI'!$B$31:$B$43</c:f>
              <c:numCache>
                <c:ptCount val="13"/>
                <c:pt idx="0">
                  <c:v>39142</c:v>
                </c:pt>
                <c:pt idx="1">
                  <c:v>39174</c:v>
                </c:pt>
                <c:pt idx="2">
                  <c:v>39205</c:v>
                </c:pt>
                <c:pt idx="3">
                  <c:v>39237</c:v>
                </c:pt>
                <c:pt idx="4">
                  <c:v>39268</c:v>
                </c:pt>
                <c:pt idx="5">
                  <c:v>39300</c:v>
                </c:pt>
                <c:pt idx="6">
                  <c:v>39332</c:v>
                </c:pt>
                <c:pt idx="7">
                  <c:v>39363</c:v>
                </c:pt>
                <c:pt idx="8">
                  <c:v>39395</c:v>
                </c:pt>
                <c:pt idx="9">
                  <c:v>39426</c:v>
                </c:pt>
                <c:pt idx="10">
                  <c:v>39458</c:v>
                </c:pt>
                <c:pt idx="11">
                  <c:v>39490</c:v>
                </c:pt>
                <c:pt idx="12">
                  <c:v>39520</c:v>
                </c:pt>
              </c:numCache>
            </c:numRef>
          </c:cat>
          <c:val>
            <c:numRef>
              <c:f>'[5]Inflation CPIX -NCPI'!$D$31:$D$43</c:f>
              <c:numCache>
                <c:ptCount val="13"/>
                <c:pt idx="0">
                  <c:v>6.3</c:v>
                </c:pt>
                <c:pt idx="1">
                  <c:v>6.9</c:v>
                </c:pt>
                <c:pt idx="2">
                  <c:v>7.1</c:v>
                </c:pt>
                <c:pt idx="3">
                  <c:v>7</c:v>
                </c:pt>
                <c:pt idx="4">
                  <c:v>7.2</c:v>
                </c:pt>
                <c:pt idx="5">
                  <c:v>6.8</c:v>
                </c:pt>
                <c:pt idx="6">
                  <c:v>6.7</c:v>
                </c:pt>
                <c:pt idx="7">
                  <c:v>6.6</c:v>
                </c:pt>
                <c:pt idx="8">
                  <c:v>6.9</c:v>
                </c:pt>
                <c:pt idx="9">
                  <c:v>7.1</c:v>
                </c:pt>
                <c:pt idx="10">
                  <c:v>7.8</c:v>
                </c:pt>
                <c:pt idx="11">
                  <c:v>7.9</c:v>
                </c:pt>
                <c:pt idx="12">
                  <c:v>8.4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-NCPI'!$B$31:$B$43</c:f>
              <c:numCache>
                <c:ptCount val="13"/>
                <c:pt idx="0">
                  <c:v>39142</c:v>
                </c:pt>
                <c:pt idx="1">
                  <c:v>39174</c:v>
                </c:pt>
                <c:pt idx="2">
                  <c:v>39205</c:v>
                </c:pt>
                <c:pt idx="3">
                  <c:v>39237</c:v>
                </c:pt>
                <c:pt idx="4">
                  <c:v>39268</c:v>
                </c:pt>
                <c:pt idx="5">
                  <c:v>39300</c:v>
                </c:pt>
                <c:pt idx="6">
                  <c:v>39332</c:v>
                </c:pt>
                <c:pt idx="7">
                  <c:v>39363</c:v>
                </c:pt>
                <c:pt idx="8">
                  <c:v>39395</c:v>
                </c:pt>
                <c:pt idx="9">
                  <c:v>39426</c:v>
                </c:pt>
                <c:pt idx="10">
                  <c:v>39458</c:v>
                </c:pt>
                <c:pt idx="11">
                  <c:v>39490</c:v>
                </c:pt>
                <c:pt idx="12">
                  <c:v>39520</c:v>
                </c:pt>
              </c:numCache>
            </c:numRef>
          </c:cat>
          <c:val>
            <c:numRef>
              <c:f>'[5]Inflation CPIX -NCPI'!$C$31:$C$43</c:f>
              <c:numCache>
                <c:ptCount val="13"/>
                <c:pt idx="0">
                  <c:v>5.5</c:v>
                </c:pt>
                <c:pt idx="1">
                  <c:v>6.3</c:v>
                </c:pt>
                <c:pt idx="2">
                  <c:v>6.4</c:v>
                </c:pt>
                <c:pt idx="3">
                  <c:v>6.4</c:v>
                </c:pt>
                <c:pt idx="4">
                  <c:v>6.5</c:v>
                </c:pt>
                <c:pt idx="5">
                  <c:v>6.3</c:v>
                </c:pt>
                <c:pt idx="6">
                  <c:v>6.7</c:v>
                </c:pt>
                <c:pt idx="7">
                  <c:v>7.3</c:v>
                </c:pt>
                <c:pt idx="8">
                  <c:v>7.9</c:v>
                </c:pt>
                <c:pt idx="9">
                  <c:v>8.6</c:v>
                </c:pt>
                <c:pt idx="10">
                  <c:v>8.8</c:v>
                </c:pt>
                <c:pt idx="11">
                  <c:v>9.4</c:v>
                </c:pt>
                <c:pt idx="12">
                  <c:v>10.1</c:v>
                </c:pt>
              </c:numCache>
            </c:numRef>
          </c:val>
          <c:smooth val="1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6104469"/>
        <c:crosses val="autoZero"/>
        <c:auto val="0"/>
        <c:lblOffset val="100"/>
        <c:tickLblSkip val="1"/>
        <c:noMultiLvlLbl val="0"/>
      </c:catAx>
      <c:valAx>
        <c:axId val="6104469"/>
        <c:scaling>
          <c:orientation val="minMax"/>
          <c:max val="10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800000"/>
                </a:solidFill>
              </a:defRPr>
            </a:pPr>
          </a:p>
        </c:txPr>
        <c:crossAx val="30504436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939"/>
          <c:w val="0.577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1"/>
          <c:w val="0.944"/>
          <c:h val="0.95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'S6'!$AZ$4:$BL$4</c:f>
              <c:strCache>
                <c:ptCount val="13"/>
                <c:pt idx="0">
                  <c:v>39172</c:v>
                </c:pt>
                <c:pt idx="1">
                  <c:v>39202</c:v>
                </c:pt>
                <c:pt idx="2">
                  <c:v>39233</c:v>
                </c:pt>
                <c:pt idx="3">
                  <c:v>39263</c:v>
                </c:pt>
                <c:pt idx="4">
                  <c:v>39294</c:v>
                </c:pt>
                <c:pt idx="5">
                  <c:v>39325</c:v>
                </c:pt>
                <c:pt idx="6">
                  <c:v>39355</c:v>
                </c:pt>
                <c:pt idx="7">
                  <c:v>39386</c:v>
                </c:pt>
                <c:pt idx="8">
                  <c:v>39416</c:v>
                </c:pt>
                <c:pt idx="9">
                  <c:v>39447</c:v>
                </c:pt>
                <c:pt idx="10">
                  <c:v>39478</c:v>
                </c:pt>
                <c:pt idx="11">
                  <c:v>39507</c:v>
                </c:pt>
                <c:pt idx="12">
                  <c:v>39538</c:v>
                </c:pt>
              </c:strCache>
            </c:strRef>
          </c:cat>
          <c:val>
            <c:numRef>
              <c:f>'S6'!$AZ$13:$BL$13</c:f>
              <c:numCache>
                <c:ptCount val="13"/>
                <c:pt idx="0">
                  <c:v>0.13602851157602633</c:v>
                </c:pt>
                <c:pt idx="1">
                  <c:v>0.14041788362165805</c:v>
                </c:pt>
                <c:pt idx="2">
                  <c:v>0.14247652699217803</c:v>
                </c:pt>
                <c:pt idx="3">
                  <c:v>0.13943500934214562</c:v>
                </c:pt>
                <c:pt idx="4">
                  <c:v>0.1434102968593145</c:v>
                </c:pt>
                <c:pt idx="5">
                  <c:v>0.1382475737550806</c:v>
                </c:pt>
                <c:pt idx="6">
                  <c:v>0.14028787071069837</c:v>
                </c:pt>
                <c:pt idx="7">
                  <c:v>0.14764724121129796</c:v>
                </c:pt>
                <c:pt idx="8">
                  <c:v>0.14923145799134457</c:v>
                </c:pt>
                <c:pt idx="9">
                  <c:v>0.14647507726560327</c:v>
                </c:pt>
                <c:pt idx="10">
                  <c:v>0.1431208942193471</c:v>
                </c:pt>
                <c:pt idx="11">
                  <c:v>0.13091404184012775</c:v>
                </c:pt>
                <c:pt idx="12">
                  <c:v>0.1253148535695936</c:v>
                </c:pt>
              </c:numCache>
            </c:numRef>
          </c:val>
          <c:smooth val="1"/>
        </c:ser>
        <c:marker val="1"/>
        <c:axId val="54940222"/>
        <c:axId val="24699951"/>
      </c:lineChart>
      <c:dateAx>
        <c:axId val="5494022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24699951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4699951"/>
        <c:scaling>
          <c:orientation val="minMax"/>
          <c:max val="0.15000000000000008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4940222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235"/>
          <c:w val="0.95175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chart'!$BA$2:$BM$2</c:f>
              <c:numCache>
                <c:ptCount val="13"/>
                <c:pt idx="0">
                  <c:v>39172</c:v>
                </c:pt>
                <c:pt idx="1">
                  <c:v>39202</c:v>
                </c:pt>
                <c:pt idx="2">
                  <c:v>39233</c:v>
                </c:pt>
                <c:pt idx="3">
                  <c:v>39263</c:v>
                </c:pt>
                <c:pt idx="4">
                  <c:v>39294</c:v>
                </c:pt>
                <c:pt idx="5">
                  <c:v>39325</c:v>
                </c:pt>
                <c:pt idx="6">
                  <c:v>39355</c:v>
                </c:pt>
                <c:pt idx="7">
                  <c:v>39386</c:v>
                </c:pt>
                <c:pt idx="8">
                  <c:v>39416</c:v>
                </c:pt>
                <c:pt idx="9">
                  <c:v>39447</c:v>
                </c:pt>
                <c:pt idx="10">
                  <c:v>39478</c:v>
                </c:pt>
                <c:pt idx="11">
                  <c:v>39507</c:v>
                </c:pt>
                <c:pt idx="12">
                  <c:v>39538</c:v>
                </c:pt>
              </c:numCache>
            </c:numRef>
          </c:cat>
          <c:val>
            <c:numRef>
              <c:f>'[2]Int reser chart'!$BA$3:$BM$3</c:f>
              <c:numCache>
                <c:ptCount val="13"/>
                <c:pt idx="0">
                  <c:v>5690.014632319999</c:v>
                </c:pt>
                <c:pt idx="1">
                  <c:v>6260.11796704</c:v>
                </c:pt>
                <c:pt idx="2">
                  <c:v>5643.79369454</c:v>
                </c:pt>
                <c:pt idx="3">
                  <c:v>6085.291314379998</c:v>
                </c:pt>
                <c:pt idx="4">
                  <c:v>7455.908350520001</c:v>
                </c:pt>
                <c:pt idx="5">
                  <c:v>6359.042470910001</c:v>
                </c:pt>
                <c:pt idx="6">
                  <c:v>5868.650081049999</c:v>
                </c:pt>
                <c:pt idx="7">
                  <c:v>6499.853570999999</c:v>
                </c:pt>
                <c:pt idx="8">
                  <c:v>6257.02633294</c:v>
                </c:pt>
                <c:pt idx="9">
                  <c:v>6743.949222620002</c:v>
                </c:pt>
                <c:pt idx="10">
                  <c:v>8497.90853458</c:v>
                </c:pt>
                <c:pt idx="11">
                  <c:v>8656.654479950002</c:v>
                </c:pt>
                <c:pt idx="12">
                  <c:v>8900.780324439998</c:v>
                </c:pt>
              </c:numCache>
            </c:numRef>
          </c:val>
        </c:ser>
        <c:axId val="20972968"/>
        <c:axId val="54538985"/>
      </c:barChart>
      <c:dateAx>
        <c:axId val="209729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4538985"/>
        <c:crosses val="autoZero"/>
        <c:auto val="0"/>
        <c:noMultiLvlLbl val="0"/>
      </c:dateAx>
      <c:valAx>
        <c:axId val="5453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0972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000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0</xdr:rowOff>
    </xdr:from>
    <xdr:to>
      <xdr:col>14</xdr:col>
      <xdr:colOff>419100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619125" y="914400"/>
        <a:ext cx="8467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14</xdr:col>
      <xdr:colOff>381000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619125" y="5876925"/>
        <a:ext cx="8429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590550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609600" y="466725"/>
        <a:ext cx="79057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33</xdr:row>
      <xdr:rowOff>123825</xdr:rowOff>
    </xdr:from>
    <xdr:to>
      <xdr:col>13</xdr:col>
      <xdr:colOff>609600</xdr:colOff>
      <xdr:row>57</xdr:row>
      <xdr:rowOff>85725</xdr:rowOff>
    </xdr:to>
    <xdr:graphicFrame>
      <xdr:nvGraphicFramePr>
        <xdr:cNvPr id="2" name="Chart 2"/>
        <xdr:cNvGraphicFramePr/>
      </xdr:nvGraphicFramePr>
      <xdr:xfrm>
        <a:off x="609600" y="5124450"/>
        <a:ext cx="79248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20</xdr:col>
      <xdr:colOff>304800</xdr:colOff>
      <xdr:row>28</xdr:row>
      <xdr:rowOff>180975</xdr:rowOff>
    </xdr:to>
    <xdr:graphicFrame>
      <xdr:nvGraphicFramePr>
        <xdr:cNvPr id="1" name="Chart 8"/>
        <xdr:cNvGraphicFramePr/>
      </xdr:nvGraphicFramePr>
      <xdr:xfrm>
        <a:off x="609600" y="1095375"/>
        <a:ext cx="11277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514350</xdr:colOff>
      <xdr:row>36</xdr:row>
      <xdr:rowOff>152400</xdr:rowOff>
    </xdr:from>
    <xdr:to>
      <xdr:col>20</xdr:col>
      <xdr:colOff>247650</xdr:colOff>
      <xdr:row>57</xdr:row>
      <xdr:rowOff>171450</xdr:rowOff>
    </xdr:to>
    <xdr:graphicFrame>
      <xdr:nvGraphicFramePr>
        <xdr:cNvPr id="2" name="Chart 5"/>
        <xdr:cNvGraphicFramePr/>
      </xdr:nvGraphicFramePr>
      <xdr:xfrm>
        <a:off x="514350" y="7334250"/>
        <a:ext cx="113157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67</xdr:row>
      <xdr:rowOff>0</xdr:rowOff>
    </xdr:from>
    <xdr:to>
      <xdr:col>20</xdr:col>
      <xdr:colOff>219075</xdr:colOff>
      <xdr:row>99</xdr:row>
      <xdr:rowOff>95250</xdr:rowOff>
    </xdr:to>
    <xdr:graphicFrame>
      <xdr:nvGraphicFramePr>
        <xdr:cNvPr id="3" name="Chart 1"/>
        <xdr:cNvGraphicFramePr/>
      </xdr:nvGraphicFramePr>
      <xdr:xfrm>
        <a:off x="542925" y="13049250"/>
        <a:ext cx="11258550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39</xdr:row>
      <xdr:rowOff>76200</xdr:rowOff>
    </xdr:from>
    <xdr:to>
      <xdr:col>22</xdr:col>
      <xdr:colOff>495300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571500" y="6600825"/>
        <a:ext cx="133064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22</xdr:col>
      <xdr:colOff>571500</xdr:colOff>
      <xdr:row>33</xdr:row>
      <xdr:rowOff>85725</xdr:rowOff>
    </xdr:to>
    <xdr:graphicFrame>
      <xdr:nvGraphicFramePr>
        <xdr:cNvPr id="2" name="Chart 1"/>
        <xdr:cNvGraphicFramePr/>
      </xdr:nvGraphicFramePr>
      <xdr:xfrm>
        <a:off x="609600" y="914400"/>
        <a:ext cx="133445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J2">
            <v>39172</v>
          </cell>
          <cell r="BK2">
            <v>39202</v>
          </cell>
          <cell r="BL2">
            <v>39233</v>
          </cell>
          <cell r="BM2">
            <v>39263</v>
          </cell>
          <cell r="BN2">
            <v>39294</v>
          </cell>
          <cell r="BO2">
            <v>39325</v>
          </cell>
          <cell r="BP2">
            <v>39355</v>
          </cell>
          <cell r="BQ2">
            <v>39386</v>
          </cell>
          <cell r="BR2">
            <v>39416</v>
          </cell>
          <cell r="BS2">
            <v>39447</v>
          </cell>
          <cell r="BT2">
            <v>39478</v>
          </cell>
          <cell r="BU2">
            <v>39507</v>
          </cell>
          <cell r="BV2">
            <v>39538</v>
          </cell>
        </row>
        <row r="3">
          <cell r="B3" t="str">
            <v>M2</v>
          </cell>
        </row>
        <row r="4">
          <cell r="B4" t="str">
            <v>M1</v>
          </cell>
        </row>
        <row r="7">
          <cell r="X7">
            <v>2004</v>
          </cell>
          <cell r="AJ7">
            <v>2005</v>
          </cell>
          <cell r="AV7">
            <v>2006</v>
          </cell>
          <cell r="BH7">
            <v>2007</v>
          </cell>
          <cell r="BT7">
            <v>2008</v>
          </cell>
        </row>
        <row r="8">
          <cell r="X8" t="str">
            <v>Jan</v>
          </cell>
          <cell r="Y8" t="str">
            <v>Feb</v>
          </cell>
          <cell r="Z8" t="str">
            <v>Mar</v>
          </cell>
          <cell r="AA8" t="str">
            <v>Apr</v>
          </cell>
          <cell r="AB8" t="str">
            <v>May</v>
          </cell>
          <cell r="AC8" t="str">
            <v>Jun</v>
          </cell>
          <cell r="AD8" t="str">
            <v>Jul</v>
          </cell>
          <cell r="AE8" t="str">
            <v>Aug</v>
          </cell>
          <cell r="AF8" t="str">
            <v>Sep</v>
          </cell>
          <cell r="AG8" t="str">
            <v>Oct</v>
          </cell>
          <cell r="AH8" t="str">
            <v>Nov</v>
          </cell>
          <cell r="AI8" t="str">
            <v>Dec</v>
          </cell>
          <cell r="AJ8" t="str">
            <v>Jan</v>
          </cell>
          <cell r="AK8" t="str">
            <v>Feb</v>
          </cell>
          <cell r="AL8" t="str">
            <v>Mar</v>
          </cell>
          <cell r="AM8" t="str">
            <v>Apr</v>
          </cell>
          <cell r="AN8" t="str">
            <v>May</v>
          </cell>
          <cell r="AO8" t="str">
            <v>Jun</v>
          </cell>
          <cell r="AP8" t="str">
            <v>Jul</v>
          </cell>
          <cell r="AQ8" t="str">
            <v>Aug</v>
          </cell>
          <cell r="AR8" t="str">
            <v>Sep</v>
          </cell>
          <cell r="AS8" t="str">
            <v>Oct</v>
          </cell>
          <cell r="AT8" t="str">
            <v>Nov</v>
          </cell>
          <cell r="AU8" t="str">
            <v>Dec</v>
          </cell>
          <cell r="AV8" t="str">
            <v>Jan</v>
          </cell>
          <cell r="AW8" t="str">
            <v>Feb</v>
          </cell>
          <cell r="AX8" t="str">
            <v>Mar</v>
          </cell>
          <cell r="AY8" t="str">
            <v>Apr</v>
          </cell>
          <cell r="AZ8" t="str">
            <v>May</v>
          </cell>
          <cell r="BA8" t="str">
            <v>Jun</v>
          </cell>
          <cell r="BB8" t="str">
            <v>Jul</v>
          </cell>
          <cell r="BC8" t="str">
            <v>Aug</v>
          </cell>
          <cell r="BD8" t="str">
            <v>Sep</v>
          </cell>
          <cell r="BE8" t="str">
            <v>Oct</v>
          </cell>
          <cell r="BF8" t="str">
            <v>Nov</v>
          </cell>
          <cell r="BG8" t="str">
            <v>Dec</v>
          </cell>
          <cell r="BH8" t="str">
            <v>Jan</v>
          </cell>
          <cell r="BI8" t="str">
            <v>Feb</v>
          </cell>
          <cell r="BJ8" t="str">
            <v>Mar</v>
          </cell>
          <cell r="BK8" t="str">
            <v>Apr</v>
          </cell>
          <cell r="BL8" t="str">
            <v>May</v>
          </cell>
          <cell r="BM8" t="str">
            <v>Jun</v>
          </cell>
          <cell r="BN8" t="str">
            <v>Jul</v>
          </cell>
          <cell r="BO8" t="str">
            <v>Aug</v>
          </cell>
          <cell r="BP8" t="str">
            <v>Sep</v>
          </cell>
          <cell r="BQ8" t="str">
            <v>Oct</v>
          </cell>
          <cell r="BR8" t="str">
            <v>Nov</v>
          </cell>
          <cell r="BS8" t="str">
            <v>Dec</v>
          </cell>
          <cell r="BT8" t="str">
            <v>Jan</v>
          </cell>
          <cell r="BU8" t="str">
            <v>Feb</v>
          </cell>
          <cell r="BV8" t="str">
            <v>Mar</v>
          </cell>
        </row>
        <row r="9">
          <cell r="BJ9">
            <v>-2.0163592435092164</v>
          </cell>
          <cell r="BK9">
            <v>2.124264004786151</v>
          </cell>
          <cell r="BL9">
            <v>1.8639134323938458</v>
          </cell>
          <cell r="BM9">
            <v>-4.265278640754327</v>
          </cell>
          <cell r="BN9">
            <v>10.478186527242048</v>
          </cell>
          <cell r="BO9">
            <v>0.3334290290081349</v>
          </cell>
          <cell r="BP9">
            <v>3.06292270218074</v>
          </cell>
          <cell r="BQ9">
            <v>-2.7589108000328078</v>
          </cell>
          <cell r="BR9">
            <v>4.833875888547043</v>
          </cell>
          <cell r="BS9">
            <v>-5.312478287553805</v>
          </cell>
          <cell r="BT9">
            <v>4.434503079596363</v>
          </cell>
          <cell r="BU9">
            <v>6.974092845707876</v>
          </cell>
          <cell r="BV9">
            <v>-2.4745243551078944</v>
          </cell>
        </row>
        <row r="10">
          <cell r="BJ10">
            <v>1.2216558177303205</v>
          </cell>
          <cell r="BK10">
            <v>0.2938067770753827</v>
          </cell>
          <cell r="BL10">
            <v>0.41015757279167386</v>
          </cell>
          <cell r="BM10">
            <v>-10.514576369690575</v>
          </cell>
          <cell r="BN10">
            <v>17.23661372104195</v>
          </cell>
          <cell r="BO10">
            <v>1.5324787126917128</v>
          </cell>
          <cell r="BP10">
            <v>-4.208677112895326</v>
          </cell>
          <cell r="BQ10">
            <v>-1.0470173444796127</v>
          </cell>
          <cell r="BR10">
            <v>6.12893564211624</v>
          </cell>
          <cell r="BS10">
            <v>-8.523006302918688</v>
          </cell>
          <cell r="BT10">
            <v>5.97477485036336</v>
          </cell>
          <cell r="BU10">
            <v>13.002097574932087</v>
          </cell>
          <cell r="BV10">
            <v>-1.3524626113997604</v>
          </cell>
        </row>
        <row r="11">
          <cell r="A11" t="str">
            <v>M2</v>
          </cell>
          <cell r="X11">
            <v>6.708472586799004</v>
          </cell>
          <cell r="Y11">
            <v>9.162929365199345</v>
          </cell>
          <cell r="Z11">
            <v>14.103107824172808</v>
          </cell>
          <cell r="AA11">
            <v>10.1157503826273</v>
          </cell>
          <cell r="AB11">
            <v>8.043431517454408</v>
          </cell>
          <cell r="AC11">
            <v>9.029904884573552</v>
          </cell>
          <cell r="AD11">
            <v>7.623626196917267</v>
          </cell>
          <cell r="AE11">
            <v>14.147864601254994</v>
          </cell>
          <cell r="AF11">
            <v>13.399013004805251</v>
          </cell>
          <cell r="AG11">
            <v>26.91471820167706</v>
          </cell>
          <cell r="AH11">
            <v>28.43292705997598</v>
          </cell>
          <cell r="AI11">
            <v>23.082050291463833</v>
          </cell>
          <cell r="AJ11">
            <v>16.538687155325153</v>
          </cell>
          <cell r="AK11">
            <v>15.303727323478943</v>
          </cell>
          <cell r="AL11">
            <v>17.334716730838885</v>
          </cell>
          <cell r="AM11">
            <v>21.901284041668706</v>
          </cell>
          <cell r="AN11">
            <v>20.75920820157945</v>
          </cell>
          <cell r="AO11">
            <v>23.18722087156746</v>
          </cell>
          <cell r="AP11">
            <v>22.591461060481823</v>
          </cell>
          <cell r="AQ11">
            <v>14.30857884274027</v>
          </cell>
          <cell r="AR11">
            <v>8.740192688647696</v>
          </cell>
          <cell r="AS11">
            <v>5.600245642508166</v>
          </cell>
          <cell r="AT11">
            <v>3.486411400545582</v>
          </cell>
          <cell r="AU11">
            <v>6.957496298699314</v>
          </cell>
          <cell r="AV11">
            <v>10.467469385872825</v>
          </cell>
          <cell r="AW11">
            <v>9.32170177349062</v>
          </cell>
          <cell r="AX11">
            <v>13.058876176810239</v>
          </cell>
          <cell r="AY11">
            <v>11.722179750339523</v>
          </cell>
          <cell r="AZ11">
            <v>17.96161978101182</v>
          </cell>
          <cell r="BA11">
            <v>22.341854854594366</v>
          </cell>
          <cell r="BB11">
            <v>21.50861483567151</v>
          </cell>
          <cell r="BC11">
            <v>21.24580440769997</v>
          </cell>
          <cell r="BD11">
            <v>28.11691526946669</v>
          </cell>
          <cell r="BE11">
            <v>30.688964057060687</v>
          </cell>
          <cell r="BF11">
            <v>33.51784933593404</v>
          </cell>
          <cell r="BG11">
            <v>33.27292546248745</v>
          </cell>
          <cell r="BH11">
            <v>36.245862401954795</v>
          </cell>
          <cell r="BI11">
            <v>31.9119765500753</v>
          </cell>
          <cell r="BJ11">
            <v>20.451213792334176</v>
          </cell>
          <cell r="BK11">
            <v>20.57619596874494</v>
          </cell>
          <cell r="BL11">
            <v>19.18412093758493</v>
          </cell>
          <cell r="BM11">
            <v>9.481877583444891</v>
          </cell>
          <cell r="BN11">
            <v>18.507489126733244</v>
          </cell>
          <cell r="BO11">
            <v>20.882745498877515</v>
          </cell>
          <cell r="BP11">
            <v>19.474266018797934</v>
          </cell>
          <cell r="BQ11">
            <v>12.384320244783757</v>
          </cell>
          <cell r="BR11">
            <v>15.840379335351768</v>
          </cell>
          <cell r="BS11">
            <v>10.062477904328034</v>
          </cell>
          <cell r="BT11">
            <v>11.460330077294199</v>
          </cell>
          <cell r="BU11">
            <v>20.216427242318847</v>
          </cell>
          <cell r="BV11">
            <v>19.654303071608005</v>
          </cell>
        </row>
        <row r="12">
          <cell r="A12" t="str">
            <v>M1</v>
          </cell>
          <cell r="X12">
            <v>12.17695923224616</v>
          </cell>
          <cell r="Y12">
            <v>14.809586621437166</v>
          </cell>
          <cell r="Z12">
            <v>24.860442931710324</v>
          </cell>
          <cell r="AA12">
            <v>25.778812990231565</v>
          </cell>
          <cell r="AB12">
            <v>19.045709350453908</v>
          </cell>
          <cell r="AC12">
            <v>16.660896288820425</v>
          </cell>
          <cell r="AD12">
            <v>9.264785123226286</v>
          </cell>
          <cell r="AE12">
            <v>20.591988272940128</v>
          </cell>
          <cell r="AF12">
            <v>15.068787077717605</v>
          </cell>
          <cell r="AG12">
            <v>24.3479266700754</v>
          </cell>
          <cell r="AH12">
            <v>25.80113464150362</v>
          </cell>
          <cell r="AI12">
            <v>21.770389118274764</v>
          </cell>
          <cell r="AJ12">
            <v>12.225875344938842</v>
          </cell>
          <cell r="AK12">
            <v>6.595013046120579</v>
          </cell>
          <cell r="AL12">
            <v>15.886860938538478</v>
          </cell>
          <cell r="AM12">
            <v>9.924449446070735</v>
          </cell>
          <cell r="AN12">
            <v>15.532440700348676</v>
          </cell>
          <cell r="AO12">
            <v>16.637004293188074</v>
          </cell>
          <cell r="AP12">
            <v>22.66878572661799</v>
          </cell>
          <cell r="AQ12">
            <v>11.106527694039181</v>
          </cell>
          <cell r="AR12">
            <v>8.30485210612106</v>
          </cell>
          <cell r="AS12">
            <v>1.7427824178059406</v>
          </cell>
          <cell r="AT12">
            <v>-3.511051013186294</v>
          </cell>
          <cell r="AU12">
            <v>0.9312304565954364</v>
          </cell>
          <cell r="AV12">
            <v>13.166114327041779</v>
          </cell>
          <cell r="AW12">
            <v>16.95502495386894</v>
          </cell>
          <cell r="AX12">
            <v>16.166660434611096</v>
          </cell>
          <cell r="AY12">
            <v>18.93799654870505</v>
          </cell>
          <cell r="AZ12">
            <v>19.876495173907863</v>
          </cell>
          <cell r="BA12">
            <v>24.00802385012584</v>
          </cell>
          <cell r="BB12">
            <v>21.77549276056539</v>
          </cell>
          <cell r="BC12">
            <v>21.806119180287585</v>
          </cell>
          <cell r="BD12">
            <v>30.352043064481972</v>
          </cell>
          <cell r="BE12">
            <v>45.595760275382325</v>
          </cell>
          <cell r="BF12">
            <v>48.84197654846546</v>
          </cell>
          <cell r="BG12">
            <v>42.232112070127755</v>
          </cell>
          <cell r="BH12">
            <v>45.75189121214182</v>
          </cell>
          <cell r="BI12">
            <v>39.9726087567036</v>
          </cell>
          <cell r="BJ12">
            <v>29.676602336435</v>
          </cell>
          <cell r="BK12">
            <v>29.97275095388825</v>
          </cell>
          <cell r="BL12">
            <v>25.39717055363792</v>
          </cell>
          <cell r="BM12">
            <v>10.488377789332132</v>
          </cell>
          <cell r="BN12">
            <v>25.611306640508612</v>
          </cell>
          <cell r="BO12">
            <v>29.187098356069065</v>
          </cell>
          <cell r="BP12">
            <v>18.555388027698847</v>
          </cell>
          <cell r="BQ12">
            <v>5.1749797268932625</v>
          </cell>
          <cell r="BR12">
            <v>12.261170986193255</v>
          </cell>
          <cell r="BS12">
            <v>6.825594746946906</v>
          </cell>
          <cell r="BT12">
            <v>6.741619276185361</v>
          </cell>
          <cell r="BU12">
            <v>19.65628492625853</v>
          </cell>
          <cell r="BV12">
            <v>16.613364459273143</v>
          </cell>
        </row>
      </sheetData>
      <sheetData sheetId="8">
        <row r="2"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</row>
        <row r="3"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  <cell r="BH3">
            <v>6499.853570999999</v>
          </cell>
          <cell r="BI3">
            <v>6257.02633294</v>
          </cell>
          <cell r="BJ3">
            <v>6743.949222620002</v>
          </cell>
          <cell r="BK3">
            <v>8497.90853458</v>
          </cell>
          <cell r="BL3">
            <v>8656.654479950002</v>
          </cell>
          <cell r="BM3">
            <v>8900.780324439998</v>
          </cell>
        </row>
      </sheetData>
      <sheetData sheetId="9">
        <row r="10">
          <cell r="BI10">
            <v>39172</v>
          </cell>
          <cell r="BJ10">
            <v>39202</v>
          </cell>
          <cell r="BK10">
            <v>39233</v>
          </cell>
          <cell r="BL10">
            <v>39263</v>
          </cell>
          <cell r="BM10">
            <v>39294</v>
          </cell>
          <cell r="BN10">
            <v>39325</v>
          </cell>
          <cell r="BO10">
            <v>39355</v>
          </cell>
          <cell r="BP10">
            <v>39386</v>
          </cell>
          <cell r="BQ10">
            <v>39416</v>
          </cell>
          <cell r="BR10">
            <v>39447</v>
          </cell>
          <cell r="BS10">
            <v>39478</v>
          </cell>
          <cell r="BT10">
            <v>39507</v>
          </cell>
          <cell r="BU10">
            <v>39538</v>
          </cell>
        </row>
        <row r="11">
          <cell r="B11" t="str">
            <v>Domestic claims</v>
          </cell>
          <cell r="BI11">
            <v>-1.106040406635616</v>
          </cell>
          <cell r="BJ11">
            <v>-2.5080256273845984</v>
          </cell>
          <cell r="BK11">
            <v>3.6996475995276263</v>
          </cell>
          <cell r="BL11">
            <v>0.6628882707765882</v>
          </cell>
          <cell r="BM11">
            <v>1.3635344568103014</v>
          </cell>
          <cell r="BN11">
            <v>4.022601386657635</v>
          </cell>
          <cell r="BO11">
            <v>3.3917655819846364</v>
          </cell>
          <cell r="BP11">
            <v>0.5402862829611639</v>
          </cell>
          <cell r="BQ11">
            <v>1.660624901114965</v>
          </cell>
          <cell r="BR11">
            <v>-2.4445681059629747</v>
          </cell>
          <cell r="BS11">
            <v>-4.1058920991125785</v>
          </cell>
          <cell r="BT11">
            <v>4.100410590801487</v>
          </cell>
          <cell r="BU11">
            <v>2.039518532370704</v>
          </cell>
        </row>
        <row r="12">
          <cell r="B12" t="str">
            <v>Other sectors claims</v>
          </cell>
          <cell r="BI12">
            <v>0.8044225669316779</v>
          </cell>
          <cell r="BJ12">
            <v>4.801631911530528</v>
          </cell>
          <cell r="BK12">
            <v>0.13441753430499181</v>
          </cell>
          <cell r="BL12">
            <v>1.6600517682014835</v>
          </cell>
          <cell r="BM12">
            <v>0.4982491808369909</v>
          </cell>
          <cell r="BN12">
            <v>0.6463034678748828</v>
          </cell>
          <cell r="BO12">
            <v>0.7472609684208106</v>
          </cell>
          <cell r="BP12">
            <v>2.2304735975610637</v>
          </cell>
          <cell r="BQ12">
            <v>1.0897117174263635</v>
          </cell>
          <cell r="BR12">
            <v>0.12874632848443096</v>
          </cell>
          <cell r="BS12">
            <v>-3.2557773224077593</v>
          </cell>
          <cell r="BT12">
            <v>1.7631459638475206</v>
          </cell>
          <cell r="BU12">
            <v>1.2906821953446157</v>
          </cell>
        </row>
        <row r="14">
          <cell r="Y14">
            <v>2004</v>
          </cell>
          <cell r="AK14">
            <v>2005</v>
          </cell>
          <cell r="AW14">
            <v>2006</v>
          </cell>
          <cell r="BI14">
            <v>2007</v>
          </cell>
          <cell r="BU14">
            <v>2008</v>
          </cell>
        </row>
        <row r="15">
          <cell r="Y15" t="str">
            <v>Jan</v>
          </cell>
          <cell r="Z15" t="str">
            <v>Feb</v>
          </cell>
          <cell r="AA15" t="str">
            <v>Mar</v>
          </cell>
          <cell r="AB15" t="str">
            <v>Apr</v>
          </cell>
          <cell r="AC15" t="str">
            <v>May</v>
          </cell>
          <cell r="AD15" t="str">
            <v>Jun</v>
          </cell>
          <cell r="AE15" t="str">
            <v>Jul</v>
          </cell>
          <cell r="AF15" t="str">
            <v>Aug</v>
          </cell>
          <cell r="AG15" t="str">
            <v>Sep</v>
          </cell>
          <cell r="AH15" t="str">
            <v>Oct</v>
          </cell>
          <cell r="AI15" t="str">
            <v>Nov</v>
          </cell>
          <cell r="AJ15" t="str">
            <v>Dec</v>
          </cell>
          <cell r="AK15" t="str">
            <v>Jan</v>
          </cell>
          <cell r="AL15" t="str">
            <v>Feb</v>
          </cell>
          <cell r="AM15" t="str">
            <v>Mar</v>
          </cell>
          <cell r="AN15" t="str">
            <v>Apr</v>
          </cell>
          <cell r="AO15" t="str">
            <v>May</v>
          </cell>
          <cell r="AP15" t="str">
            <v>Jun</v>
          </cell>
          <cell r="AQ15" t="str">
            <v>Jul</v>
          </cell>
          <cell r="AR15" t="str">
            <v>Aug</v>
          </cell>
          <cell r="AS15" t="str">
            <v>Sep</v>
          </cell>
          <cell r="AT15" t="str">
            <v>Oct</v>
          </cell>
          <cell r="AU15" t="str">
            <v>Nov</v>
          </cell>
          <cell r="AV15" t="str">
            <v>Dec</v>
          </cell>
          <cell r="AW15" t="str">
            <v>Jan</v>
          </cell>
          <cell r="AX15" t="str">
            <v>Feb</v>
          </cell>
          <cell r="AY15" t="str">
            <v>Mar</v>
          </cell>
          <cell r="AZ15" t="str">
            <v>Apr</v>
          </cell>
          <cell r="BA15" t="str">
            <v>May</v>
          </cell>
          <cell r="BB15" t="str">
            <v>Jun</v>
          </cell>
          <cell r="BC15" t="str">
            <v>Jul</v>
          </cell>
          <cell r="BD15" t="str">
            <v>Aug</v>
          </cell>
          <cell r="BE15" t="str">
            <v>Sep</v>
          </cell>
          <cell r="BF15" t="str">
            <v>Oct</v>
          </cell>
          <cell r="BG15" t="str">
            <v>Nov</v>
          </cell>
          <cell r="BH15" t="str">
            <v>Dec</v>
          </cell>
          <cell r="BI15" t="str">
            <v>Jan</v>
          </cell>
          <cell r="BJ15" t="str">
            <v>Feb</v>
          </cell>
          <cell r="BK15" t="str">
            <v>Mar</v>
          </cell>
          <cell r="BL15" t="str">
            <v>Apr</v>
          </cell>
          <cell r="BM15" t="str">
            <v>May</v>
          </cell>
          <cell r="BN15" t="str">
            <v>Jun</v>
          </cell>
          <cell r="BO15" t="str">
            <v>Jul</v>
          </cell>
          <cell r="BP15" t="str">
            <v>Aug</v>
          </cell>
          <cell r="BQ15" t="str">
            <v>Sep</v>
          </cell>
          <cell r="BR15" t="str">
            <v>Oct</v>
          </cell>
          <cell r="BS15" t="str">
            <v>Nov</v>
          </cell>
          <cell r="BT15" t="str">
            <v>Dec</v>
          </cell>
          <cell r="BU15" t="str">
            <v>Jan</v>
          </cell>
          <cell r="BV15" t="str">
            <v>Feb</v>
          </cell>
          <cell r="BW15" t="str">
            <v>Mar</v>
          </cell>
        </row>
        <row r="16">
          <cell r="B16" t="str">
            <v>Domestic claims</v>
          </cell>
          <cell r="Y16">
            <v>20.453958221035194</v>
          </cell>
          <cell r="Z16">
            <v>20.014987647067283</v>
          </cell>
          <cell r="AA16">
            <v>18.358405189936235</v>
          </cell>
          <cell r="AB16">
            <v>13.083722256054223</v>
          </cell>
          <cell r="AC16">
            <v>19.109176241175934</v>
          </cell>
          <cell r="AD16">
            <v>18.293631304555543</v>
          </cell>
          <cell r="AE16">
            <v>18.92960243506075</v>
          </cell>
          <cell r="AF16">
            <v>21.59050090268985</v>
          </cell>
          <cell r="AG16">
            <v>22.48206231722378</v>
          </cell>
          <cell r="AH16">
            <v>26.45756592379212</v>
          </cell>
          <cell r="AI16">
            <v>22.78900324586196</v>
          </cell>
          <cell r="AJ16">
            <v>22.469875252343385</v>
          </cell>
          <cell r="AK16">
            <v>21.642055652360025</v>
          </cell>
          <cell r="AL16">
            <v>18.676243470110734</v>
          </cell>
          <cell r="AM16">
            <v>17.541837286935706</v>
          </cell>
          <cell r="AN16">
            <v>22.41024885984043</v>
          </cell>
          <cell r="AO16">
            <v>19.054370209530845</v>
          </cell>
          <cell r="AP16">
            <v>20.84745909882378</v>
          </cell>
          <cell r="AQ16">
            <v>20.44798163161769</v>
          </cell>
          <cell r="AR16">
            <v>20.063741152264868</v>
          </cell>
          <cell r="AS16">
            <v>19.179013225197146</v>
          </cell>
          <cell r="AT16">
            <v>17.271640982355947</v>
          </cell>
          <cell r="AU16">
            <v>17.23534428133733</v>
          </cell>
          <cell r="AV16">
            <v>23.59044224897467</v>
          </cell>
          <cell r="AW16">
            <v>18.716895349796566</v>
          </cell>
          <cell r="AX16">
            <v>19.3695364739865</v>
          </cell>
          <cell r="AY16">
            <v>19.34718521906825</v>
          </cell>
          <cell r="AZ16">
            <v>13.837898231517887</v>
          </cell>
          <cell r="BA16">
            <v>14.78128141706128</v>
          </cell>
          <cell r="BB16">
            <v>15.281463963110983</v>
          </cell>
          <cell r="BC16">
            <v>13.527803529135873</v>
          </cell>
          <cell r="BD16">
            <v>13.800807703584814</v>
          </cell>
          <cell r="BE16">
            <v>11.969343802905993</v>
          </cell>
          <cell r="BF16">
            <v>11.111313543103517</v>
          </cell>
          <cell r="BG16">
            <v>11.50567701955221</v>
          </cell>
          <cell r="BH16">
            <v>4.733928512796796</v>
          </cell>
          <cell r="BI16">
            <v>4.259352442556983</v>
          </cell>
          <cell r="BJ16">
            <v>4.8823225303615505</v>
          </cell>
          <cell r="BK16">
            <v>2.8887908490402405</v>
          </cell>
          <cell r="BL16">
            <v>3.1335287428281324</v>
          </cell>
          <cell r="BM16">
            <v>2.466533409315342</v>
          </cell>
          <cell r="BN16">
            <v>0.4752296252192467</v>
          </cell>
          <cell r="BO16">
            <v>3.629437672415049</v>
          </cell>
          <cell r="BP16">
            <v>5.107197784512811</v>
          </cell>
          <cell r="BQ16">
            <v>8.444783546722638</v>
          </cell>
          <cell r="BR16">
            <v>10.726446036993126</v>
          </cell>
          <cell r="BS16">
            <v>9.28828934144513</v>
          </cell>
          <cell r="BT16">
            <v>6.389855630749929</v>
          </cell>
          <cell r="BU16">
            <v>8.549355669475837</v>
          </cell>
          <cell r="BV16">
            <v>9.21176379071649</v>
          </cell>
          <cell r="BW16">
            <v>12.685505172385117</v>
          </cell>
        </row>
        <row r="17">
          <cell r="B17" t="str">
            <v>Other sectors claims</v>
          </cell>
          <cell r="Y17">
            <v>17.525095281771076</v>
          </cell>
          <cell r="Z17">
            <v>17.514959321924213</v>
          </cell>
          <cell r="AA17">
            <v>17.533739746734184</v>
          </cell>
          <cell r="AB17">
            <v>17.242341921412706</v>
          </cell>
          <cell r="AC17">
            <v>20.742112326714015</v>
          </cell>
          <cell r="AD17">
            <v>17.163437315082174</v>
          </cell>
          <cell r="AE17">
            <v>19.4446130519431</v>
          </cell>
          <cell r="AF17">
            <v>20.79599151003212</v>
          </cell>
          <cell r="AG17">
            <v>20.450938930910425</v>
          </cell>
          <cell r="AH17">
            <v>21.675133695843478</v>
          </cell>
          <cell r="AI17">
            <v>19.925113195008496</v>
          </cell>
          <cell r="AJ17">
            <v>19.900391907560014</v>
          </cell>
          <cell r="AK17">
            <v>20.124941677147802</v>
          </cell>
          <cell r="AL17">
            <v>18.43953366109137</v>
          </cell>
          <cell r="AM17">
            <v>17.32217877519808</v>
          </cell>
          <cell r="AN17">
            <v>18.255467118152392</v>
          </cell>
          <cell r="AO17">
            <v>16.653269981874743</v>
          </cell>
          <cell r="AP17">
            <v>16.31028713895807</v>
          </cell>
          <cell r="AQ17">
            <v>17.315428056736764</v>
          </cell>
          <cell r="AR17">
            <v>15.999384107757844</v>
          </cell>
          <cell r="AS17">
            <v>16.150117974657395</v>
          </cell>
          <cell r="AT17">
            <v>15.711393084983182</v>
          </cell>
          <cell r="AU17">
            <v>16.05589799242577</v>
          </cell>
          <cell r="AV17">
            <v>21.41816096137786</v>
          </cell>
          <cell r="AW17">
            <v>15.504992800843546</v>
          </cell>
          <cell r="AX17">
            <v>18.55663655485431</v>
          </cell>
          <cell r="AY17">
            <v>18.263674993225184</v>
          </cell>
          <cell r="AZ17">
            <v>17.305102600240936</v>
          </cell>
          <cell r="BA17">
            <v>16.89334773676143</v>
          </cell>
          <cell r="BB17">
            <v>17.892645752916714</v>
          </cell>
          <cell r="BC17">
            <v>18.520542153419395</v>
          </cell>
          <cell r="BD17">
            <v>18.146228563752615</v>
          </cell>
          <cell r="BE17">
            <v>16.373563476355997</v>
          </cell>
          <cell r="BF17">
            <v>16.6952286507554</v>
          </cell>
          <cell r="BG17">
            <v>14.493460988593782</v>
          </cell>
          <cell r="BH17">
            <v>9.154562432737496</v>
          </cell>
          <cell r="BI17">
            <v>10.674838553479</v>
          </cell>
          <cell r="BJ17">
            <v>9.189922722282262</v>
          </cell>
          <cell r="BK17">
            <v>10.324316974015776</v>
          </cell>
          <cell r="BL17">
            <v>13.423418211811558</v>
          </cell>
          <cell r="BM17">
            <v>11.707013468188627</v>
          </cell>
          <cell r="BN17">
            <v>12.962526151365283</v>
          </cell>
          <cell r="BO17">
            <v>10.515857922774114</v>
          </cell>
          <cell r="BP17">
            <v>10.94617467796916</v>
          </cell>
          <cell r="BQ17">
            <v>11.710975440178258</v>
          </cell>
          <cell r="BR17">
            <v>12.534675482952787</v>
          </cell>
          <cell r="BS17">
            <v>13.58435504733306</v>
          </cell>
          <cell r="BT17">
            <v>12.986705235429508</v>
          </cell>
          <cell r="BU17">
            <v>11.356768676110567</v>
          </cell>
          <cell r="BV17">
            <v>11.643278048071178</v>
          </cell>
          <cell r="BW17">
            <v>12.181822067431158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03">
          <cell r="C203">
            <v>39143</v>
          </cell>
          <cell r="E203">
            <v>9</v>
          </cell>
          <cell r="J203">
            <v>7.22</v>
          </cell>
          <cell r="K203">
            <v>11.9</v>
          </cell>
        </row>
        <row r="204">
          <cell r="C204">
            <v>39174</v>
          </cell>
          <cell r="E204">
            <v>9</v>
          </cell>
          <cell r="J204">
            <v>7.18</v>
          </cell>
          <cell r="K204">
            <v>12.44</v>
          </cell>
        </row>
        <row r="205">
          <cell r="C205">
            <v>39204</v>
          </cell>
          <cell r="E205">
            <v>9</v>
          </cell>
          <cell r="J205">
            <v>7.34</v>
          </cell>
          <cell r="K205">
            <v>12.65</v>
          </cell>
        </row>
        <row r="206">
          <cell r="C206">
            <v>39235</v>
          </cell>
          <cell r="E206">
            <v>9.5</v>
          </cell>
          <cell r="J206">
            <v>7.24</v>
          </cell>
          <cell r="K206">
            <v>12.22</v>
          </cell>
        </row>
        <row r="207">
          <cell r="C207">
            <v>39265</v>
          </cell>
          <cell r="E207">
            <v>9.5</v>
          </cell>
          <cell r="J207">
            <v>7.49</v>
          </cell>
          <cell r="K207">
            <v>13.03</v>
          </cell>
        </row>
        <row r="208">
          <cell r="C208">
            <v>39296</v>
          </cell>
          <cell r="E208">
            <v>10</v>
          </cell>
          <cell r="J208">
            <v>7.68</v>
          </cell>
          <cell r="K208">
            <v>12.85</v>
          </cell>
        </row>
        <row r="209">
          <cell r="C209">
            <v>39327</v>
          </cell>
          <cell r="E209">
            <v>10</v>
          </cell>
          <cell r="J209">
            <v>7.74</v>
          </cell>
          <cell r="K209">
            <v>12.89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  <row r="212">
          <cell r="C212">
            <v>39418</v>
          </cell>
          <cell r="E212">
            <v>10.5</v>
          </cell>
          <cell r="J212">
            <v>8.28</v>
          </cell>
          <cell r="K212">
            <v>13.59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  <row r="146">
          <cell r="B146">
            <v>39447</v>
          </cell>
          <cell r="C146">
            <v>929</v>
          </cell>
          <cell r="D146">
            <v>133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6.9</v>
          </cell>
        </row>
        <row r="40">
          <cell r="B40">
            <v>39426</v>
          </cell>
          <cell r="C40">
            <v>8.6</v>
          </cell>
          <cell r="D40">
            <v>7.1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5">
      <selection activeCell="A2" sqref="A2:A20"/>
    </sheetView>
  </sheetViews>
  <sheetFormatPr defaultColWidth="9.140625" defaultRowHeight="12"/>
  <cols>
    <col min="1" max="1" width="113.28125" style="0" bestFit="1" customWidth="1"/>
  </cols>
  <sheetData>
    <row r="1" ht="9.75">
      <c r="A1" t="s">
        <v>119</v>
      </c>
    </row>
    <row r="2" ht="36">
      <c r="A2" s="25"/>
    </row>
    <row r="3" ht="36">
      <c r="A3" s="25"/>
    </row>
    <row r="4" ht="32.25">
      <c r="A4" s="26"/>
    </row>
    <row r="5" ht="36">
      <c r="A5" s="25"/>
    </row>
    <row r="6" ht="32.25">
      <c r="A6" s="26"/>
    </row>
    <row r="7" ht="36">
      <c r="A7" s="27"/>
    </row>
    <row r="8" ht="36">
      <c r="A8" s="27"/>
    </row>
    <row r="9" ht="33">
      <c r="A9" s="105"/>
    </row>
    <row r="11" ht="39">
      <c r="A11" s="28"/>
    </row>
    <row r="12" ht="39">
      <c r="A12" s="28"/>
    </row>
    <row r="13" ht="39">
      <c r="A13" s="28" t="s">
        <v>47</v>
      </c>
    </row>
    <row r="14" ht="39">
      <c r="A14" s="28"/>
    </row>
    <row r="15" ht="39">
      <c r="A15" s="28" t="s">
        <v>48</v>
      </c>
    </row>
    <row r="16" ht="39">
      <c r="A16" s="28"/>
    </row>
    <row r="17" ht="39">
      <c r="A17" s="28" t="s">
        <v>49</v>
      </c>
    </row>
    <row r="18" ht="39">
      <c r="A18" s="28"/>
    </row>
    <row r="19" ht="39">
      <c r="A19" s="30">
        <v>39535</v>
      </c>
    </row>
    <row r="20" ht="39">
      <c r="A20" s="29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59"/>
  <sheetViews>
    <sheetView tabSelected="1" zoomScalePageLayoutView="0" workbookViewId="0" topLeftCell="B46">
      <selection activeCell="D63" sqref="D63"/>
    </sheetView>
  </sheetViews>
  <sheetFormatPr defaultColWidth="9.140625" defaultRowHeight="12"/>
  <cols>
    <col min="2" max="2" width="50.8515625" style="0" customWidth="1"/>
    <col min="3" max="4" width="9.7109375" style="0" customWidth="1"/>
    <col min="5" max="5" width="11.140625" style="0" customWidth="1"/>
    <col min="6" max="6" width="9.8515625" style="0" customWidth="1"/>
    <col min="7" max="10" width="9.28125" style="0" customWidth="1"/>
    <col min="11" max="11" width="9.140625" style="0" customWidth="1"/>
  </cols>
  <sheetData>
    <row r="1" ht="10.5" thickBot="1"/>
    <row r="2" spans="2:11" ht="9.75">
      <c r="B2" s="274" t="s">
        <v>171</v>
      </c>
      <c r="C2" s="275"/>
      <c r="D2" s="275"/>
      <c r="E2" s="275"/>
      <c r="F2" s="275"/>
      <c r="G2" s="275"/>
      <c r="H2" s="275"/>
      <c r="I2" s="275"/>
      <c r="J2" s="275"/>
      <c r="K2" s="276"/>
    </row>
    <row r="3" spans="2:11" ht="9.75">
      <c r="B3" s="277" t="s">
        <v>143</v>
      </c>
      <c r="C3" s="278"/>
      <c r="D3" s="278"/>
      <c r="E3" s="278"/>
      <c r="F3" s="278"/>
      <c r="G3" s="278"/>
      <c r="H3" s="278"/>
      <c r="I3" s="278"/>
      <c r="J3" s="278"/>
      <c r="K3" s="279"/>
    </row>
    <row r="4" spans="2:11" ht="9.75">
      <c r="B4" s="115"/>
      <c r="C4" s="23"/>
      <c r="D4" s="23"/>
      <c r="E4" s="23"/>
      <c r="F4" s="267" t="s">
        <v>132</v>
      </c>
      <c r="G4" s="273"/>
      <c r="H4" s="184" t="s">
        <v>165</v>
      </c>
      <c r="I4" s="270" t="s">
        <v>166</v>
      </c>
      <c r="J4" s="271"/>
      <c r="K4" s="272"/>
    </row>
    <row r="5" spans="2:11" ht="9.75">
      <c r="B5" s="116"/>
      <c r="C5" s="12">
        <v>39169</v>
      </c>
      <c r="D5" s="12">
        <v>39507</v>
      </c>
      <c r="E5" s="12">
        <v>39535</v>
      </c>
      <c r="F5" s="12" t="s">
        <v>135</v>
      </c>
      <c r="G5" s="103" t="s">
        <v>134</v>
      </c>
      <c r="H5" s="103" t="s">
        <v>167</v>
      </c>
      <c r="I5" s="12">
        <v>39448</v>
      </c>
      <c r="J5" s="12">
        <v>39479</v>
      </c>
      <c r="K5" s="231">
        <v>39508</v>
      </c>
    </row>
    <row r="6" spans="2:11" ht="9.75">
      <c r="B6" s="117"/>
      <c r="C6" s="195"/>
      <c r="D6" s="195"/>
      <c r="E6" s="195"/>
      <c r="F6" s="196"/>
      <c r="G6" s="196"/>
      <c r="H6" s="196"/>
      <c r="I6" s="192"/>
      <c r="J6" s="192"/>
      <c r="K6" s="232"/>
    </row>
    <row r="7" spans="2:14" ht="9.75">
      <c r="B7" s="118" t="s">
        <v>1</v>
      </c>
      <c r="C7" s="190">
        <v>6888.471109660561</v>
      </c>
      <c r="D7" s="190">
        <v>10542.645694256165</v>
      </c>
      <c r="E7" s="190">
        <v>10770.740284482737</v>
      </c>
      <c r="F7" s="190">
        <v>228.0945902265721</v>
      </c>
      <c r="G7" s="190">
        <v>3882.269174822177</v>
      </c>
      <c r="H7" s="190">
        <v>2.1635422155070847</v>
      </c>
      <c r="I7" s="190">
        <v>69.09430020210152</v>
      </c>
      <c r="J7" s="190">
        <v>74.0256542217399</v>
      </c>
      <c r="K7" s="233">
        <v>56.3589381884405</v>
      </c>
      <c r="N7" s="56"/>
    </row>
    <row r="8" spans="2:11" ht="9.75">
      <c r="B8" s="118" t="s">
        <v>76</v>
      </c>
      <c r="C8" s="190">
        <v>27310.231806310407</v>
      </c>
      <c r="D8" s="190">
        <v>30159.562802060278</v>
      </c>
      <c r="E8" s="190">
        <v>30774.67267469028</v>
      </c>
      <c r="F8" s="198">
        <v>615.1098726300006</v>
      </c>
      <c r="G8" s="198">
        <v>3464.440868379872</v>
      </c>
      <c r="H8" s="190">
        <v>2.039518532370704</v>
      </c>
      <c r="I8" s="190">
        <v>8.549355669475837</v>
      </c>
      <c r="J8" s="190">
        <v>9.21176379071649</v>
      </c>
      <c r="K8" s="233">
        <v>12.685505172385117</v>
      </c>
    </row>
    <row r="9" spans="2:11" ht="9.75">
      <c r="B9" s="120" t="s">
        <v>160</v>
      </c>
      <c r="C9" s="191">
        <v>-2680.4415713195885</v>
      </c>
      <c r="D9" s="191">
        <v>-3460.7502438397255</v>
      </c>
      <c r="E9" s="191">
        <v>-3059.244905449726</v>
      </c>
      <c r="F9" s="194">
        <v>401.50533838999945</v>
      </c>
      <c r="G9" s="194">
        <v>-378.8033341301375</v>
      </c>
      <c r="H9" s="191">
        <v>-11.601684897796224</v>
      </c>
      <c r="I9" s="191">
        <v>66.88240729054009</v>
      </c>
      <c r="J9" s="191">
        <v>88.9545984793219</v>
      </c>
      <c r="K9" s="234">
        <v>14.132124280689007</v>
      </c>
    </row>
    <row r="10" spans="2:11" ht="9.75">
      <c r="B10" s="120" t="s">
        <v>173</v>
      </c>
      <c r="C10" s="191">
        <v>29990.673377629995</v>
      </c>
      <c r="D10" s="191">
        <v>33620.3130459</v>
      </c>
      <c r="E10" s="191">
        <v>33833.917580140005</v>
      </c>
      <c r="F10" s="194">
        <v>213.60453424000298</v>
      </c>
      <c r="G10" s="194">
        <v>3843.24420251001</v>
      </c>
      <c r="H10" s="191">
        <v>0.6353436803172541</v>
      </c>
      <c r="I10" s="191">
        <v>12.990646389413623</v>
      </c>
      <c r="J10" s="191">
        <v>14.171521942610429</v>
      </c>
      <c r="K10" s="234">
        <v>12.814797967746468</v>
      </c>
    </row>
    <row r="11" spans="2:11" ht="9.75">
      <c r="B11" s="121" t="s">
        <v>88</v>
      </c>
      <c r="C11" s="191">
        <v>2229.649</v>
      </c>
      <c r="D11" s="191">
        <v>2874.63608935</v>
      </c>
      <c r="E11" s="191">
        <v>2692.2697333</v>
      </c>
      <c r="F11" s="194">
        <v>-182.36635604999992</v>
      </c>
      <c r="G11" s="194">
        <v>462.6207333000002</v>
      </c>
      <c r="H11" s="191">
        <v>-6.343980607689225</v>
      </c>
      <c r="I11" s="191">
        <v>39.903462734957294</v>
      </c>
      <c r="J11" s="191">
        <v>53.57389465420397</v>
      </c>
      <c r="K11" s="234">
        <v>20.748590172713293</v>
      </c>
    </row>
    <row r="12" spans="2:11" ht="9.75">
      <c r="B12" s="121" t="s">
        <v>89</v>
      </c>
      <c r="C12" s="191">
        <v>24.004</v>
      </c>
      <c r="D12" s="191">
        <v>26.272</v>
      </c>
      <c r="E12" s="191">
        <v>25.753</v>
      </c>
      <c r="F12" s="194">
        <v>-0.5189999999999984</v>
      </c>
      <c r="G12" s="194">
        <v>1.7489999999999988</v>
      </c>
      <c r="H12" s="191">
        <v>-1.9754872107186299</v>
      </c>
      <c r="I12" s="191">
        <v>-43.26568898853784</v>
      </c>
      <c r="J12" s="191">
        <v>-55.98813931281725</v>
      </c>
      <c r="K12" s="234">
        <v>7.286285619063484</v>
      </c>
    </row>
    <row r="13" spans="2:11" ht="9.75">
      <c r="B13" s="121" t="s">
        <v>158</v>
      </c>
      <c r="C13" s="191">
        <v>332.909</v>
      </c>
      <c r="D13" s="191">
        <v>259.15700000000004</v>
      </c>
      <c r="E13" s="191">
        <v>379.91200000000003</v>
      </c>
      <c r="F13" s="194">
        <v>120.755</v>
      </c>
      <c r="G13" s="194">
        <v>47.00300000000004</v>
      </c>
      <c r="H13" s="191">
        <v>46.59530709184007</v>
      </c>
      <c r="I13" s="191">
        <v>-4.511612940196315</v>
      </c>
      <c r="J13" s="191">
        <v>-1.969261961772245</v>
      </c>
      <c r="K13" s="234">
        <v>14.118873325743685</v>
      </c>
    </row>
    <row r="14" spans="2:11" ht="9.75">
      <c r="B14" s="121" t="s">
        <v>159</v>
      </c>
      <c r="C14" s="191">
        <v>9181.2957611</v>
      </c>
      <c r="D14" s="191">
        <v>10292.84249227</v>
      </c>
      <c r="E14" s="191">
        <v>10560.449534890002</v>
      </c>
      <c r="F14" s="194">
        <v>267.6070426200022</v>
      </c>
      <c r="G14" s="194">
        <v>1379.1537737900017</v>
      </c>
      <c r="H14" s="191">
        <v>2.5999333305739114</v>
      </c>
      <c r="I14" s="191">
        <v>11.281036068577368</v>
      </c>
      <c r="J14" s="191">
        <v>11.100148785010491</v>
      </c>
      <c r="K14" s="234">
        <v>15.021341319090311</v>
      </c>
    </row>
    <row r="15" spans="2:14" ht="9.75">
      <c r="B15" s="121" t="s">
        <v>90</v>
      </c>
      <c r="C15" s="191">
        <v>18222.815616529995</v>
      </c>
      <c r="D15" s="191">
        <v>20167.405464280004</v>
      </c>
      <c r="E15" s="191">
        <v>20175.533311950003</v>
      </c>
      <c r="F15" s="194">
        <v>8.127847669999028</v>
      </c>
      <c r="G15" s="194">
        <v>1952.7176954200077</v>
      </c>
      <c r="H15" s="191">
        <v>0.040301900432333074</v>
      </c>
      <c r="I15" s="191">
        <v>11.597084503202407</v>
      </c>
      <c r="J15" s="191">
        <v>12.123098660828326</v>
      </c>
      <c r="K15" s="234">
        <v>10.715784742115751</v>
      </c>
      <c r="L15" s="53"/>
      <c r="M15" s="53"/>
      <c r="N15" s="56"/>
    </row>
    <row r="16" spans="2:11" ht="9.75">
      <c r="B16" s="118" t="s">
        <v>45</v>
      </c>
      <c r="C16" s="191">
        <v>-11609.021326236274</v>
      </c>
      <c r="D16" s="191">
        <v>-12986.873694479591</v>
      </c>
      <c r="E16" s="191">
        <v>-14514.885314836178</v>
      </c>
      <c r="F16" s="194">
        <v>-1528.0116203565867</v>
      </c>
      <c r="G16" s="194">
        <v>-2905.8639885999037</v>
      </c>
      <c r="H16" s="191">
        <v>11.765815671296686</v>
      </c>
      <c r="I16" s="190">
        <v>20.218475215807537</v>
      </c>
      <c r="J16" s="190">
        <v>40.2384216568475</v>
      </c>
      <c r="K16" s="233">
        <v>22.295616967274654</v>
      </c>
    </row>
    <row r="17" spans="2:11" ht="10.5" thickBot="1">
      <c r="B17" s="122" t="s">
        <v>52</v>
      </c>
      <c r="C17" s="193">
        <v>22589.68158973469</v>
      </c>
      <c r="D17" s="193">
        <v>27715.334801836856</v>
      </c>
      <c r="E17" s="193">
        <v>27029.5276443368</v>
      </c>
      <c r="F17" s="197">
        <v>-684.8071575000176</v>
      </c>
      <c r="G17" s="197">
        <v>4440.846054602149</v>
      </c>
      <c r="H17" s="193">
        <v>-2.4708601299473805</v>
      </c>
      <c r="I17" s="193">
        <v>11.460330077294199</v>
      </c>
      <c r="J17" s="193">
        <v>20.216427242318847</v>
      </c>
      <c r="K17" s="235">
        <v>19.654303071608005</v>
      </c>
    </row>
    <row r="18" spans="2:13" ht="10.5" thickBot="1">
      <c r="B18" s="185"/>
      <c r="C18" s="35"/>
      <c r="D18" s="35"/>
      <c r="E18" s="35"/>
      <c r="F18" s="35"/>
      <c r="G18" s="35"/>
      <c r="H18" s="35"/>
      <c r="I18" s="35"/>
      <c r="J18" s="35"/>
      <c r="K18" s="35"/>
      <c r="M18" s="53"/>
    </row>
    <row r="19" spans="2:11" ht="9.75">
      <c r="B19" s="274" t="s">
        <v>171</v>
      </c>
      <c r="C19" s="275"/>
      <c r="D19" s="275"/>
      <c r="E19" s="275"/>
      <c r="F19" s="275"/>
      <c r="G19" s="275"/>
      <c r="H19" s="275"/>
      <c r="I19" s="275"/>
      <c r="J19" s="275"/>
      <c r="K19" s="276"/>
    </row>
    <row r="20" spans="2:11" ht="9.75">
      <c r="B20" s="263" t="s">
        <v>142</v>
      </c>
      <c r="C20" s="264"/>
      <c r="D20" s="264"/>
      <c r="E20" s="264"/>
      <c r="F20" s="264"/>
      <c r="G20" s="264"/>
      <c r="H20" s="264"/>
      <c r="I20" s="265"/>
      <c r="J20" s="265"/>
      <c r="K20" s="266"/>
    </row>
    <row r="21" spans="2:11" ht="9.75">
      <c r="B21" s="115"/>
      <c r="C21" s="23"/>
      <c r="D21" s="23"/>
      <c r="E21" s="23"/>
      <c r="F21" s="267" t="s">
        <v>132</v>
      </c>
      <c r="G21" s="273"/>
      <c r="H21" s="184" t="s">
        <v>164</v>
      </c>
      <c r="I21" s="267" t="s">
        <v>166</v>
      </c>
      <c r="J21" s="268"/>
      <c r="K21" s="269"/>
    </row>
    <row r="22" spans="2:11" ht="9.75">
      <c r="B22" s="116"/>
      <c r="C22" s="12">
        <f>C5</f>
        <v>39169</v>
      </c>
      <c r="D22" s="12">
        <f>D5</f>
        <v>39507</v>
      </c>
      <c r="E22" s="12">
        <f>E5</f>
        <v>39535</v>
      </c>
      <c r="F22" s="12" t="s">
        <v>135</v>
      </c>
      <c r="G22" s="103" t="s">
        <v>134</v>
      </c>
      <c r="H22" s="103" t="s">
        <v>167</v>
      </c>
      <c r="I22" s="12">
        <f>I5</f>
        <v>39448</v>
      </c>
      <c r="J22" s="12">
        <f>J5</f>
        <v>39479</v>
      </c>
      <c r="K22" s="231">
        <f>K5</f>
        <v>39508</v>
      </c>
    </row>
    <row r="23" spans="2:11" ht="9.75">
      <c r="B23" s="124"/>
      <c r="C23" s="36"/>
      <c r="D23" s="36"/>
      <c r="E23" s="36"/>
      <c r="F23" s="36"/>
      <c r="G23" s="36"/>
      <c r="H23" s="36"/>
      <c r="I23" s="36"/>
      <c r="J23" s="36"/>
      <c r="K23" s="125"/>
    </row>
    <row r="24" spans="2:11" ht="9.75">
      <c r="B24" s="118" t="s">
        <v>52</v>
      </c>
      <c r="C24" s="207">
        <v>22589.683775737005</v>
      </c>
      <c r="D24" s="207">
        <v>27715.35181879822</v>
      </c>
      <c r="E24" s="207">
        <v>27029.5286879382</v>
      </c>
      <c r="F24" s="207">
        <v>-685.8231308600007</v>
      </c>
      <c r="G24" s="207">
        <v>4439.844912201213</v>
      </c>
      <c r="H24" s="207">
        <v>-2.4745243551078944</v>
      </c>
      <c r="I24" s="207">
        <v>11.460330077294199</v>
      </c>
      <c r="J24" s="207">
        <v>20.216427242318847</v>
      </c>
      <c r="K24" s="236">
        <v>19.654303071608005</v>
      </c>
    </row>
    <row r="25" spans="2:12" ht="9.75">
      <c r="B25" s="120" t="s">
        <v>53</v>
      </c>
      <c r="C25" s="208">
        <v>797.43821127</v>
      </c>
      <c r="D25" s="208">
        <v>882.0477020199999</v>
      </c>
      <c r="E25" s="208">
        <v>928.20027289</v>
      </c>
      <c r="F25" s="208">
        <v>46.15257087000009</v>
      </c>
      <c r="G25" s="208">
        <v>130.76206161999994</v>
      </c>
      <c r="H25" s="208">
        <v>5.232434795114246</v>
      </c>
      <c r="I25" s="208">
        <v>5.862044762380255</v>
      </c>
      <c r="J25" s="208">
        <v>20.615290349818853</v>
      </c>
      <c r="K25" s="237">
        <v>16.39776722158176</v>
      </c>
      <c r="L25" s="53"/>
    </row>
    <row r="26" spans="2:11" ht="9.75">
      <c r="B26" s="120" t="s">
        <v>54</v>
      </c>
      <c r="C26" s="208">
        <v>14029.635651230004</v>
      </c>
      <c r="D26" s="208">
        <v>16645.35352829276</v>
      </c>
      <c r="E26" s="208">
        <v>16362.149409032758</v>
      </c>
      <c r="F26" s="208">
        <v>-283.2041192600009</v>
      </c>
      <c r="G26" s="208">
        <v>2332.5137578027534</v>
      </c>
      <c r="H26" s="208">
        <v>-1.7014004465488088</v>
      </c>
      <c r="I26" s="208">
        <v>6.788757975166799</v>
      </c>
      <c r="J26" s="208">
        <v>19.605891913911215</v>
      </c>
      <c r="K26" s="237">
        <v>16.625618909770175</v>
      </c>
    </row>
    <row r="27" spans="2:11" ht="9.75">
      <c r="B27" s="120" t="s">
        <v>55</v>
      </c>
      <c r="C27" s="208">
        <v>7756.662155057</v>
      </c>
      <c r="D27" s="208">
        <v>10184.02568739</v>
      </c>
      <c r="E27" s="208">
        <v>9735.25410492</v>
      </c>
      <c r="F27" s="208">
        <v>-448.771582469999</v>
      </c>
      <c r="G27" s="208">
        <v>1978.591949863001</v>
      </c>
      <c r="H27" s="208">
        <v>-4.40662264850406</v>
      </c>
      <c r="I27" s="208">
        <v>19.34219357889492</v>
      </c>
      <c r="J27" s="208">
        <v>21.231555918336035</v>
      </c>
      <c r="K27" s="237">
        <v>25.508290941523693</v>
      </c>
    </row>
    <row r="28" spans="2:11" ht="10.5" thickBot="1">
      <c r="B28" s="126" t="s">
        <v>124</v>
      </c>
      <c r="C28" s="238">
        <v>5.94775818</v>
      </c>
      <c r="D28" s="238">
        <v>3.924901095460822</v>
      </c>
      <c r="E28" s="238">
        <v>3.924901095460822</v>
      </c>
      <c r="F28" s="238">
        <v>0</v>
      </c>
      <c r="G28" s="238">
        <v>-2.022857084539178</v>
      </c>
      <c r="H28" s="238">
        <v>0</v>
      </c>
      <c r="I28" s="238">
        <v>0.7087357683330799</v>
      </c>
      <c r="J28" s="238">
        <v>-34.010412382622754</v>
      </c>
      <c r="K28" s="239">
        <v>-34.010412382622754</v>
      </c>
    </row>
    <row r="29" spans="2:11" ht="9.75">
      <c r="B29" s="43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2:11" ht="9.75">
      <c r="B30" s="43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0.5" thickBot="1">
      <c r="B31" s="151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9.75">
      <c r="B32" s="274" t="s">
        <v>171</v>
      </c>
      <c r="C32" s="275"/>
      <c r="D32" s="275"/>
      <c r="E32" s="275"/>
      <c r="F32" s="275"/>
      <c r="G32" s="275"/>
      <c r="H32" s="275"/>
      <c r="I32" s="275"/>
      <c r="J32" s="275"/>
      <c r="K32" s="276"/>
    </row>
    <row r="33" spans="2:11" ht="9.75">
      <c r="B33" s="263" t="s">
        <v>155</v>
      </c>
      <c r="C33" s="264"/>
      <c r="D33" s="264"/>
      <c r="E33" s="264"/>
      <c r="F33" s="264"/>
      <c r="G33" s="264"/>
      <c r="H33" s="264"/>
      <c r="I33" s="265"/>
      <c r="J33" s="265"/>
      <c r="K33" s="266"/>
    </row>
    <row r="34" spans="2:11" ht="9.75">
      <c r="B34" s="115"/>
      <c r="C34" s="23"/>
      <c r="D34" s="23"/>
      <c r="E34" s="23"/>
      <c r="F34" s="267" t="s">
        <v>132</v>
      </c>
      <c r="G34" s="273"/>
      <c r="H34" s="184" t="s">
        <v>165</v>
      </c>
      <c r="I34" s="270" t="s">
        <v>166</v>
      </c>
      <c r="J34" s="271"/>
      <c r="K34" s="272"/>
    </row>
    <row r="35" spans="2:11" ht="9.75">
      <c r="B35" s="116"/>
      <c r="C35" s="12">
        <f>C22</f>
        <v>39169</v>
      </c>
      <c r="D35" s="12">
        <f>D22</f>
        <v>39507</v>
      </c>
      <c r="E35" s="12">
        <f>E22</f>
        <v>39535</v>
      </c>
      <c r="F35" s="12" t="s">
        <v>135</v>
      </c>
      <c r="G35" s="103" t="s">
        <v>134</v>
      </c>
      <c r="H35" s="103" t="s">
        <v>167</v>
      </c>
      <c r="I35" s="12">
        <f>I22</f>
        <v>39448</v>
      </c>
      <c r="J35" s="12">
        <f>J22</f>
        <v>39479</v>
      </c>
      <c r="K35" s="231">
        <f>K22</f>
        <v>39508</v>
      </c>
    </row>
    <row r="36" spans="2:11" ht="9.75">
      <c r="B36" s="127"/>
      <c r="C36" s="37"/>
      <c r="D36" s="134"/>
      <c r="E36" s="134"/>
      <c r="F36" s="37"/>
      <c r="G36" s="38"/>
      <c r="H36" s="38"/>
      <c r="I36" s="38"/>
      <c r="J36" s="38"/>
      <c r="K36" s="128"/>
    </row>
    <row r="37" spans="2:11" ht="9.75">
      <c r="B37" s="129" t="s">
        <v>172</v>
      </c>
      <c r="C37" s="209">
        <v>27422.64459153</v>
      </c>
      <c r="D37" s="209">
        <v>30483.948990840003</v>
      </c>
      <c r="E37" s="209">
        <v>30760.602998180002</v>
      </c>
      <c r="F37" s="209">
        <v>276.6540073399969</v>
      </c>
      <c r="G37" s="209">
        <v>3337.958406650003</v>
      </c>
      <c r="H37" s="209">
        <v>0.9075399234630981</v>
      </c>
      <c r="I37" s="209">
        <v>11.51816913525277</v>
      </c>
      <c r="J37" s="209">
        <v>11.790924448720398</v>
      </c>
      <c r="K37" s="240">
        <v>12.172270240051882</v>
      </c>
    </row>
    <row r="38" spans="2:11" ht="9.75">
      <c r="B38" s="130" t="s">
        <v>50</v>
      </c>
      <c r="C38" s="225">
        <v>0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41">
        <v>0</v>
      </c>
    </row>
    <row r="39" spans="2:11" ht="9.75">
      <c r="B39" s="130" t="s">
        <v>156</v>
      </c>
      <c r="C39" s="225">
        <v>9170.1287611</v>
      </c>
      <c r="D39" s="225">
        <v>10284.956492270001</v>
      </c>
      <c r="E39" s="225">
        <v>10552.475534890002</v>
      </c>
      <c r="F39" s="225">
        <v>267.5190426200006</v>
      </c>
      <c r="G39" s="225">
        <v>1382.346773790001</v>
      </c>
      <c r="H39" s="225">
        <v>2.601071213291601</v>
      </c>
      <c r="I39" s="225">
        <v>11.328882821705722</v>
      </c>
      <c r="J39" s="225">
        <v>11.147320549389077</v>
      </c>
      <c r="K39" s="241">
        <v>15.074453257995277</v>
      </c>
    </row>
    <row r="40" spans="2:11" ht="9.75">
      <c r="B40" s="131" t="s">
        <v>95</v>
      </c>
      <c r="C40" s="211">
        <v>7020.49888427</v>
      </c>
      <c r="D40" s="211">
        <v>8095.55930369</v>
      </c>
      <c r="E40" s="211">
        <v>8336.684653680002</v>
      </c>
      <c r="F40" s="210">
        <v>241.12534999000218</v>
      </c>
      <c r="G40" s="210">
        <v>1316.1857694100017</v>
      </c>
      <c r="H40" s="210">
        <v>2.9784890820340966</v>
      </c>
      <c r="I40" s="210">
        <v>14.718623831981004</v>
      </c>
      <c r="J40" s="210">
        <v>14.489506357511964</v>
      </c>
      <c r="K40" s="242">
        <v>18.74775270399976</v>
      </c>
    </row>
    <row r="41" spans="2:11" ht="9.75">
      <c r="B41" s="132" t="s">
        <v>96</v>
      </c>
      <c r="C41" s="212">
        <v>2323.94777091</v>
      </c>
      <c r="D41" s="212">
        <v>2174.7134847899997</v>
      </c>
      <c r="E41" s="212">
        <v>2337.4404308200005</v>
      </c>
      <c r="F41" s="210">
        <v>162.72694603000082</v>
      </c>
      <c r="G41" s="210">
        <v>13.492659910000384</v>
      </c>
      <c r="H41" s="210">
        <v>7.482684370521318</v>
      </c>
      <c r="I41" s="210">
        <v>5.642349170033369</v>
      </c>
      <c r="J41" s="210">
        <v>0.1706769238993705</v>
      </c>
      <c r="K41" s="242">
        <v>0.5805922180736873</v>
      </c>
    </row>
    <row r="42" spans="2:11" ht="9.75">
      <c r="B42" s="132" t="s">
        <v>97</v>
      </c>
      <c r="C42" s="212">
        <v>1145.48093378</v>
      </c>
      <c r="D42" s="212">
        <v>1872.14217954</v>
      </c>
      <c r="E42" s="212">
        <v>1863.02733672</v>
      </c>
      <c r="F42" s="210">
        <v>-9.114842819999922</v>
      </c>
      <c r="G42" s="210">
        <v>717.54640294</v>
      </c>
      <c r="H42" s="210">
        <v>-0.486867018948289</v>
      </c>
      <c r="I42" s="210">
        <v>59.433970601861</v>
      </c>
      <c r="J42" s="210">
        <v>52.24018553709941</v>
      </c>
      <c r="K42" s="242">
        <v>62.64149684029672</v>
      </c>
    </row>
    <row r="43" spans="2:11" ht="9.75">
      <c r="B43" s="132" t="s">
        <v>98</v>
      </c>
      <c r="C43" s="212">
        <v>3551.07017958</v>
      </c>
      <c r="D43" s="212">
        <v>4048.70363936</v>
      </c>
      <c r="E43" s="212">
        <v>4136.2168861400005</v>
      </c>
      <c r="F43" s="210">
        <v>87.51324678000037</v>
      </c>
      <c r="G43" s="210">
        <v>585.1467065600004</v>
      </c>
      <c r="H43" s="210">
        <v>2.161512784715308</v>
      </c>
      <c r="I43" s="210">
        <v>6.372781593384455</v>
      </c>
      <c r="J43" s="210">
        <v>10.310841009319677</v>
      </c>
      <c r="K43" s="242">
        <v>16.47803836502066</v>
      </c>
    </row>
    <row r="44" spans="2:11" ht="9.75">
      <c r="B44" s="131" t="s">
        <v>99</v>
      </c>
      <c r="C44" s="212">
        <v>1386.4963057900002</v>
      </c>
      <c r="D44" s="212">
        <v>1323.78749872</v>
      </c>
      <c r="E44" s="212">
        <v>1352.63184681</v>
      </c>
      <c r="F44" s="210">
        <v>28.84434809000004</v>
      </c>
      <c r="G44" s="210">
        <v>-33.86445898000011</v>
      </c>
      <c r="H44" s="210">
        <v>2.1789258561430964</v>
      </c>
      <c r="I44" s="210">
        <v>-7.023844056143302</v>
      </c>
      <c r="J44" s="210">
        <v>-7.404755061093042</v>
      </c>
      <c r="K44" s="242">
        <v>-2.442448554574746</v>
      </c>
    </row>
    <row r="45" spans="2:11" ht="9.75">
      <c r="B45" s="131" t="s">
        <v>100</v>
      </c>
      <c r="C45" s="212">
        <v>37.006571040000004</v>
      </c>
      <c r="D45" s="212">
        <v>48.152689859999995</v>
      </c>
      <c r="E45" s="212">
        <v>48.010034399999995</v>
      </c>
      <c r="F45" s="210">
        <v>-0.1426554600000003</v>
      </c>
      <c r="G45" s="210">
        <v>11.00346335999999</v>
      </c>
      <c r="H45" s="210">
        <v>-0.2962564716836367</v>
      </c>
      <c r="I45" s="210">
        <v>28.24142655359948</v>
      </c>
      <c r="J45" s="210">
        <v>31.28770202449572</v>
      </c>
      <c r="K45" s="242">
        <v>29.733809566161817</v>
      </c>
    </row>
    <row r="46" spans="2:12" ht="9.75">
      <c r="B46" s="131" t="s">
        <v>101</v>
      </c>
      <c r="C46" s="212">
        <v>726.127</v>
      </c>
      <c r="D46" s="212">
        <v>817.457</v>
      </c>
      <c r="E46" s="212">
        <v>815.149</v>
      </c>
      <c r="F46" s="210">
        <v>-2.3079999999999927</v>
      </c>
      <c r="G46" s="210">
        <v>89.02200000000005</v>
      </c>
      <c r="H46" s="210">
        <v>-0.28233900988064115</v>
      </c>
      <c r="I46" s="210">
        <v>14.266605230455594</v>
      </c>
      <c r="J46" s="210">
        <v>14.151956464971299</v>
      </c>
      <c r="K46" s="242">
        <v>12.259838843618272</v>
      </c>
      <c r="L46" s="51"/>
    </row>
    <row r="47" spans="2:13" ht="9.75">
      <c r="B47" s="130" t="s">
        <v>157</v>
      </c>
      <c r="C47" s="224">
        <v>18206.328830429997</v>
      </c>
      <c r="D47" s="224">
        <v>20144.108498570004</v>
      </c>
      <c r="E47" s="224">
        <v>20152.54446329</v>
      </c>
      <c r="F47" s="225">
        <v>8.435964719996264</v>
      </c>
      <c r="G47" s="225">
        <v>1946.215632860003</v>
      </c>
      <c r="H47" s="225">
        <v>0.04187807427960944</v>
      </c>
      <c r="I47" s="225">
        <v>11.600567495335012</v>
      </c>
      <c r="J47" s="225">
        <v>12.101239213763167</v>
      </c>
      <c r="K47" s="241">
        <v>10.689775247863857</v>
      </c>
      <c r="L47" s="51"/>
      <c r="M47" s="51"/>
    </row>
    <row r="48" spans="2:11" ht="9.75">
      <c r="B48" s="131" t="s">
        <v>102</v>
      </c>
      <c r="C48" s="213">
        <v>14667.066101289998</v>
      </c>
      <c r="D48" s="213">
        <v>16286.918944850002</v>
      </c>
      <c r="E48" s="213">
        <v>16357.408685200002</v>
      </c>
      <c r="F48" s="210">
        <v>70.48974034999992</v>
      </c>
      <c r="G48" s="210">
        <v>1690.3425839100037</v>
      </c>
      <c r="H48" s="210">
        <v>0.43279972466670313</v>
      </c>
      <c r="I48" s="210">
        <v>12.114664692260286</v>
      </c>
      <c r="J48" s="210">
        <v>12.598728090114363</v>
      </c>
      <c r="K48" s="242">
        <v>11.524749205032455</v>
      </c>
    </row>
    <row r="49" spans="2:11" ht="9.75">
      <c r="B49" s="132" t="s">
        <v>96</v>
      </c>
      <c r="C49" s="212">
        <v>11694.49437438</v>
      </c>
      <c r="D49" s="212">
        <v>13293.830869720001</v>
      </c>
      <c r="E49" s="212">
        <v>13363.1070966</v>
      </c>
      <c r="F49" s="210">
        <v>69.27622687999974</v>
      </c>
      <c r="G49" s="210">
        <v>1668.6127222200012</v>
      </c>
      <c r="H49" s="210">
        <v>0.5211156028605234</v>
      </c>
      <c r="I49" s="210">
        <v>14.61071996451531</v>
      </c>
      <c r="J49" s="210">
        <v>14.897814700701867</v>
      </c>
      <c r="K49" s="242">
        <v>14.2683614083868</v>
      </c>
    </row>
    <row r="50" spans="2:11" ht="9.75">
      <c r="B50" s="132" t="s">
        <v>103</v>
      </c>
      <c r="C50" s="212">
        <v>1858.4057223400002</v>
      </c>
      <c r="D50" s="212">
        <v>1822.83240445</v>
      </c>
      <c r="E50" s="212">
        <v>1782.78724094</v>
      </c>
      <c r="F50" s="210">
        <v>-40.045163510000066</v>
      </c>
      <c r="G50" s="210">
        <v>-75.61848140000029</v>
      </c>
      <c r="H50" s="210">
        <v>-2.1968648029429136</v>
      </c>
      <c r="I50" s="210">
        <v>2.0685990283278577</v>
      </c>
      <c r="J50" s="210">
        <v>1.3107773484666787</v>
      </c>
      <c r="K50" s="242">
        <v>-4.068997447165937</v>
      </c>
    </row>
    <row r="51" spans="2:12" ht="9.75">
      <c r="B51" s="132" t="s">
        <v>98</v>
      </c>
      <c r="C51" s="212">
        <v>1114.1660045699998</v>
      </c>
      <c r="D51" s="212">
        <v>1170.25567068</v>
      </c>
      <c r="E51" s="212">
        <v>1211.5143476599999</v>
      </c>
      <c r="F51" s="210">
        <v>41.25867697999979</v>
      </c>
      <c r="G51" s="210">
        <v>97.34834309000007</v>
      </c>
      <c r="H51" s="210">
        <v>3.525612224209572</v>
      </c>
      <c r="I51" s="210">
        <v>2.6691695900174315</v>
      </c>
      <c r="J51" s="210">
        <v>6.8545737517134695</v>
      </c>
      <c r="K51" s="242">
        <v>8.737328431374156</v>
      </c>
      <c r="L51" s="51"/>
    </row>
    <row r="52" spans="2:11" ht="9.75">
      <c r="B52" s="131" t="s">
        <v>99</v>
      </c>
      <c r="C52" s="212">
        <v>3116.62396966</v>
      </c>
      <c r="D52" s="212">
        <v>3385.10407282</v>
      </c>
      <c r="E52" s="212">
        <v>3316.55610131</v>
      </c>
      <c r="F52" s="210">
        <v>-68.54797151000002</v>
      </c>
      <c r="G52" s="210">
        <v>199.93213164999997</v>
      </c>
      <c r="H52" s="210">
        <v>-2.0249885981465656</v>
      </c>
      <c r="I52" s="210">
        <v>9.273854528689437</v>
      </c>
      <c r="J52" s="210">
        <v>9.656117303391634</v>
      </c>
      <c r="K52" s="242">
        <v>6.415022588426382</v>
      </c>
    </row>
    <row r="53" spans="2:11" ht="9.75">
      <c r="B53" s="131" t="s">
        <v>100</v>
      </c>
      <c r="C53" s="212">
        <v>67.40875947999999</v>
      </c>
      <c r="D53" s="212">
        <v>93.2414809</v>
      </c>
      <c r="E53" s="212">
        <v>92.92067678</v>
      </c>
      <c r="F53" s="210">
        <v>-0.32080412000000535</v>
      </c>
      <c r="G53" s="210">
        <v>25.511917300000007</v>
      </c>
      <c r="H53" s="210">
        <v>-0.34405729821479636</v>
      </c>
      <c r="I53" s="210">
        <v>38.035597328403334</v>
      </c>
      <c r="J53" s="210">
        <v>40.6109890331587</v>
      </c>
      <c r="K53" s="242">
        <v>37.84659070542506</v>
      </c>
    </row>
    <row r="54" spans="2:11" ht="9.75">
      <c r="B54" s="131" t="s">
        <v>101</v>
      </c>
      <c r="C54" s="212">
        <v>355.23</v>
      </c>
      <c r="D54" s="212">
        <v>378.844</v>
      </c>
      <c r="E54" s="212">
        <v>385.659</v>
      </c>
      <c r="F54" s="210">
        <v>6.814999999999998</v>
      </c>
      <c r="G54" s="210">
        <v>30.428999999999974</v>
      </c>
      <c r="H54" s="210">
        <v>1.7988934759426038</v>
      </c>
      <c r="I54" s="210">
        <v>6.165137930441069</v>
      </c>
      <c r="J54" s="210">
        <v>7.72682421922763</v>
      </c>
      <c r="K54" s="242">
        <v>8.565999493286032</v>
      </c>
    </row>
    <row r="55" spans="2:11" ht="10.5" thickBot="1">
      <c r="B55" s="133" t="s">
        <v>104</v>
      </c>
      <c r="C55" s="226">
        <v>46.187</v>
      </c>
      <c r="D55" s="226">
        <v>54.884</v>
      </c>
      <c r="E55" s="226">
        <v>55.583</v>
      </c>
      <c r="F55" s="227">
        <v>0.6989999999999981</v>
      </c>
      <c r="G55" s="227">
        <v>9.396</v>
      </c>
      <c r="H55" s="227">
        <v>1.2735952190073574</v>
      </c>
      <c r="I55" s="227">
        <v>16.717650330502504</v>
      </c>
      <c r="J55" s="227">
        <v>20.09102446282439</v>
      </c>
      <c r="K55" s="243">
        <v>20.343386667244033</v>
      </c>
    </row>
    <row r="56" ht="9.75">
      <c r="B56" s="59" t="s">
        <v>154</v>
      </c>
    </row>
    <row r="59" spans="2:11" ht="11.25">
      <c r="B59" s="298" t="s">
        <v>174</v>
      </c>
      <c r="C59" s="299"/>
      <c r="D59" s="299"/>
      <c r="E59" s="299"/>
      <c r="F59" s="299"/>
      <c r="G59" s="299"/>
      <c r="H59" s="299"/>
      <c r="I59" s="299"/>
      <c r="J59" s="299"/>
      <c r="K59" s="299"/>
    </row>
  </sheetData>
  <sheetProtection/>
  <mergeCells count="13">
    <mergeCell ref="B3:K3"/>
    <mergeCell ref="B20:K20"/>
    <mergeCell ref="B59:K59"/>
    <mergeCell ref="B33:K33"/>
    <mergeCell ref="I21:K21"/>
    <mergeCell ref="I34:K34"/>
    <mergeCell ref="F34:G34"/>
    <mergeCell ref="B32:K32"/>
    <mergeCell ref="B2:K2"/>
    <mergeCell ref="B19:K19"/>
    <mergeCell ref="F4:G4"/>
    <mergeCell ref="F21:G21"/>
    <mergeCell ref="I4:K4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9"/>
  <sheetViews>
    <sheetView showGridLines="0" zoomScale="80" zoomScaleNormal="80" workbookViewId="0" topLeftCell="A40">
      <selection activeCell="A2" sqref="A2:P55"/>
    </sheetView>
  </sheetViews>
  <sheetFormatPr defaultColWidth="9.28125" defaultRowHeight="12"/>
  <cols>
    <col min="1" max="16384" width="9.28125" style="1" customWidth="1"/>
  </cols>
  <sheetData>
    <row r="2" spans="1:14" ht="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7" ht="15">
      <c r="A4" s="256"/>
      <c r="B4" s="280" t="s">
        <v>131</v>
      </c>
      <c r="C4" s="281"/>
      <c r="D4" s="281"/>
      <c r="E4" s="281"/>
      <c r="F4" s="281"/>
      <c r="G4" s="281"/>
      <c r="H4" s="281"/>
      <c r="I4" s="281"/>
      <c r="J4" s="281"/>
      <c r="K4" s="281"/>
      <c r="L4" s="282"/>
      <c r="M4" s="282"/>
      <c r="N4" s="256"/>
      <c r="O4" s="257"/>
      <c r="P4" s="257"/>
      <c r="Q4" s="257"/>
    </row>
    <row r="5" spans="1:17" ht="15">
      <c r="A5" s="256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150"/>
      <c r="N5" s="256"/>
      <c r="O5" s="257"/>
      <c r="P5" s="257"/>
      <c r="Q5" s="257"/>
    </row>
    <row r="6" spans="1:17" ht="1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7"/>
      <c r="P6" s="257"/>
      <c r="Q6" s="257"/>
    </row>
    <row r="7" spans="1:17" ht="15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7"/>
      <c r="P7" s="257"/>
      <c r="Q7" s="257"/>
    </row>
    <row r="8" spans="1:17" ht="1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  <c r="P8" s="257"/>
      <c r="Q8" s="257"/>
    </row>
    <row r="9" spans="1:17" ht="1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P9" s="257"/>
      <c r="Q9" s="257"/>
    </row>
    <row r="10" spans="1:17" ht="1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7"/>
      <c r="P10" s="257"/>
      <c r="Q10" s="257"/>
    </row>
    <row r="11" spans="1:17" ht="1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7"/>
      <c r="P11" s="257"/>
      <c r="Q11" s="257"/>
    </row>
    <row r="12" spans="1:17" ht="1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7"/>
      <c r="P12" s="257"/>
      <c r="Q12" s="257"/>
    </row>
    <row r="13" spans="1:17" ht="1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7"/>
      <c r="P13" s="257"/>
      <c r="Q13" s="257"/>
    </row>
    <row r="14" spans="1:17" ht="1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7"/>
      <c r="P14" s="257"/>
      <c r="Q14" s="257"/>
    </row>
    <row r="15" spans="1:17" ht="1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7"/>
      <c r="P15" s="257"/>
      <c r="Q15" s="257"/>
    </row>
    <row r="16" spans="1:17" ht="1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7"/>
      <c r="P16" s="257"/>
      <c r="Q16" s="257"/>
    </row>
    <row r="17" spans="1:17" ht="15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7"/>
      <c r="P17" s="257"/>
      <c r="Q17" s="257"/>
    </row>
    <row r="18" spans="1:17" ht="15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7"/>
      <c r="P18" s="257"/>
      <c r="Q18" s="257"/>
    </row>
    <row r="19" spans="1:17" ht="1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7"/>
      <c r="P19" s="257"/>
      <c r="Q19" s="257"/>
    </row>
    <row r="20" spans="1:17" ht="1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  <c r="P20" s="257"/>
      <c r="Q20" s="257"/>
    </row>
    <row r="21" spans="1:17" ht="15">
      <c r="A21" s="257"/>
      <c r="B21" s="257"/>
      <c r="C21" s="257"/>
      <c r="D21" s="256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</row>
    <row r="22" spans="1:17" ht="15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</row>
    <row r="23" spans="1:17" ht="1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</row>
    <row r="24" spans="1:17" ht="15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</row>
    <row r="25" spans="1:17" ht="15">
      <c r="A25" s="280"/>
      <c r="B25" s="281"/>
      <c r="C25" s="281"/>
      <c r="D25" s="281"/>
      <c r="E25" s="281"/>
      <c r="F25" s="281"/>
      <c r="G25" s="281"/>
      <c r="H25" s="281"/>
      <c r="I25" s="281"/>
      <c r="J25" s="281"/>
      <c r="K25" s="282"/>
      <c r="L25" s="282"/>
      <c r="M25" s="257"/>
      <c r="N25" s="257"/>
      <c r="O25" s="257"/>
      <c r="P25" s="257"/>
      <c r="Q25" s="257"/>
    </row>
    <row r="26" spans="1:17" ht="15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</row>
    <row r="27" spans="1:17" ht="15">
      <c r="A27" s="257"/>
      <c r="B27" s="258"/>
      <c r="C27" s="259"/>
      <c r="D27" s="259"/>
      <c r="E27" s="259"/>
      <c r="F27" s="259"/>
      <c r="G27" s="259"/>
      <c r="H27" s="257"/>
      <c r="I27" s="257"/>
      <c r="J27" s="257"/>
      <c r="K27" s="257"/>
      <c r="L27" s="257"/>
      <c r="M27" s="257"/>
      <c r="N27" s="257"/>
      <c r="O27" s="257"/>
      <c r="P27" s="257"/>
      <c r="Q27" s="257"/>
    </row>
    <row r="28" spans="1:17" ht="15">
      <c r="A28" s="257"/>
      <c r="B28" s="260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</row>
    <row r="29" spans="1:17" ht="15">
      <c r="A29" s="257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57"/>
      <c r="N29" s="257"/>
      <c r="O29" s="257"/>
      <c r="P29" s="257"/>
      <c r="Q29" s="257"/>
    </row>
    <row r="30" spans="1:17" ht="15.75">
      <c r="A30" s="257"/>
      <c r="B30" s="283" t="s">
        <v>152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57"/>
      <c r="O30" s="257"/>
      <c r="P30" s="257"/>
      <c r="Q30" s="257"/>
    </row>
    <row r="31" spans="1:17" ht="15">
      <c r="A31" s="257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57"/>
      <c r="N31" s="257"/>
      <c r="O31" s="257"/>
      <c r="P31" s="257"/>
      <c r="Q31" s="257"/>
    </row>
    <row r="32" spans="1:17" ht="15">
      <c r="A32" s="257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57"/>
      <c r="N32" s="257"/>
      <c r="O32" s="257"/>
      <c r="P32" s="257"/>
      <c r="Q32" s="257"/>
    </row>
    <row r="33" spans="1:17" ht="15">
      <c r="A33" s="257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57"/>
      <c r="N33" s="257"/>
      <c r="O33" s="257"/>
      <c r="P33" s="257"/>
      <c r="Q33" s="257"/>
    </row>
    <row r="34" spans="1:17" ht="15">
      <c r="A34" s="257"/>
      <c r="B34" s="257"/>
      <c r="C34" s="257"/>
      <c r="D34" s="257"/>
      <c r="E34" s="257"/>
      <c r="F34" s="260"/>
      <c r="G34" s="260"/>
      <c r="H34" s="260"/>
      <c r="I34" s="260"/>
      <c r="J34" s="260"/>
      <c r="K34" s="260"/>
      <c r="L34" s="260"/>
      <c r="M34" s="257"/>
      <c r="N34" s="257"/>
      <c r="O34" s="257"/>
      <c r="P34" s="257"/>
      <c r="Q34" s="257"/>
    </row>
    <row r="35" spans="1:17" ht="15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</row>
    <row r="36" spans="1:17" ht="15">
      <c r="A36" s="257"/>
      <c r="B36" s="260"/>
      <c r="C36" s="260"/>
      <c r="D36" s="260"/>
      <c r="E36" s="260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</row>
    <row r="37" spans="1:17" ht="15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</row>
    <row r="38" spans="1:17" ht="15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ht="15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</row>
    <row r="40" spans="1:17" ht="15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</row>
    <row r="41" spans="1:17" ht="15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</row>
    <row r="42" spans="1:17" ht="15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</row>
    <row r="43" spans="1:17" ht="1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</row>
    <row r="44" spans="1:17" ht="1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</row>
    <row r="45" spans="1:17" ht="15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</row>
    <row r="46" spans="1:17" ht="15">
      <c r="A46" s="257"/>
      <c r="B46" s="257"/>
      <c r="C46" s="261"/>
      <c r="D46" s="261"/>
      <c r="E46" s="261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</row>
    <row r="47" spans="1:17" ht="15">
      <c r="A47" s="257"/>
      <c r="B47" s="257"/>
      <c r="C47" s="261"/>
      <c r="D47" s="261"/>
      <c r="E47" s="261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</row>
    <row r="48" spans="1:17" ht="15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</row>
    <row r="49" spans="1:17" ht="15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</row>
    <row r="50" spans="1:17" ht="15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</row>
    <row r="51" spans="1:17" ht="15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</row>
    <row r="52" spans="1:17" ht="15">
      <c r="A52" s="25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</row>
    <row r="53" spans="1:17" ht="15">
      <c r="A53" s="257"/>
      <c r="B53" s="261" t="s">
        <v>91</v>
      </c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</row>
    <row r="54" spans="1:17" ht="15">
      <c r="A54" s="257"/>
      <c r="B54" s="262" t="s">
        <v>153</v>
      </c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</row>
    <row r="55" spans="1:17" ht="15">
      <c r="A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</row>
    <row r="56" spans="1:17" ht="15">
      <c r="A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1:17" ht="1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</row>
    <row r="58" spans="1:17" ht="15">
      <c r="A58" s="257"/>
      <c r="B58" s="261"/>
      <c r="C58" s="261"/>
      <c r="D58" s="261"/>
      <c r="E58" s="261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</row>
    <row r="59" spans="2:5" ht="15">
      <c r="B59" s="183"/>
      <c r="C59" s="106"/>
      <c r="D59" s="106"/>
      <c r="E59" s="106"/>
    </row>
  </sheetData>
  <sheetProtection/>
  <mergeCells count="3">
    <mergeCell ref="B4:M4"/>
    <mergeCell ref="A25:L25"/>
    <mergeCell ref="B30:M30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showGridLines="0" zoomScale="90" zoomScaleNormal="90" zoomScalePageLayoutView="0" workbookViewId="0" topLeftCell="A37">
      <selection activeCell="A2" sqref="A2:O62"/>
    </sheetView>
  </sheetViews>
  <sheetFormatPr defaultColWidth="9.140625" defaultRowHeight="12"/>
  <sheetData>
    <row r="2" spans="2:13" ht="12.75">
      <c r="B2" s="285" t="s">
        <v>151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26" ht="9.75">
      <c r="A26" s="186"/>
    </row>
    <row r="29" ht="9.75">
      <c r="B29" s="106"/>
    </row>
    <row r="30" spans="2:13" ht="12.75">
      <c r="B30" s="285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</row>
    <row r="32" spans="2:13" ht="12.75">
      <c r="B32" s="285" t="s">
        <v>169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</row>
    <row r="61" ht="9.75">
      <c r="B61" s="106" t="s">
        <v>137</v>
      </c>
    </row>
  </sheetData>
  <sheetProtection/>
  <mergeCells count="3">
    <mergeCell ref="B2:M2"/>
    <mergeCell ref="B32:M32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5"/>
  <sheetViews>
    <sheetView showGridLines="0" zoomScale="75" zoomScaleNormal="75" zoomScaleSheetLayoutView="75" zoomScalePageLayoutView="0" workbookViewId="0" topLeftCell="A19">
      <selection activeCell="A1" sqref="A1:C86"/>
    </sheetView>
  </sheetViews>
  <sheetFormatPr defaultColWidth="9.281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" thickBot="1">
      <c r="A1" s="22" t="s">
        <v>46</v>
      </c>
    </row>
    <row r="2" spans="1:4" ht="12" thickBot="1">
      <c r="A2" s="3" t="s">
        <v>2</v>
      </c>
      <c r="B2" s="48">
        <v>39479</v>
      </c>
      <c r="C2" s="48">
        <v>39509</v>
      </c>
      <c r="D2" s="4"/>
    </row>
    <row r="3" spans="1:4" ht="11.25">
      <c r="A3" s="5"/>
      <c r="B3" s="33"/>
      <c r="C3" s="33"/>
      <c r="D3" s="4"/>
    </row>
    <row r="4" spans="1:4" ht="11.25">
      <c r="A4" s="5" t="s">
        <v>3</v>
      </c>
      <c r="B4" s="34">
        <v>10.5</v>
      </c>
      <c r="C4" s="34">
        <v>10.5</v>
      </c>
      <c r="D4" s="4"/>
    </row>
    <row r="5" spans="1:4" ht="11.25">
      <c r="A5" s="5"/>
      <c r="B5" s="34"/>
      <c r="C5" s="34"/>
      <c r="D5" s="4"/>
    </row>
    <row r="6" spans="1:4" ht="11.25">
      <c r="A6" s="5" t="s">
        <v>41</v>
      </c>
      <c r="B6" s="34">
        <v>15.25</v>
      </c>
      <c r="C6" s="34">
        <v>15.25</v>
      </c>
      <c r="D6" s="4"/>
    </row>
    <row r="7" spans="1:4" ht="11.25">
      <c r="A7" s="5"/>
      <c r="B7" s="34"/>
      <c r="C7" s="34"/>
      <c r="D7" s="4"/>
    </row>
    <row r="8" spans="1:4" ht="11.25">
      <c r="A8" s="5" t="s">
        <v>4</v>
      </c>
      <c r="B8" s="34">
        <v>15.25</v>
      </c>
      <c r="C8" s="34">
        <v>15.25</v>
      </c>
      <c r="D8" s="4"/>
    </row>
    <row r="9" spans="1:4" ht="11.25">
      <c r="A9" s="5"/>
      <c r="B9" s="34"/>
      <c r="C9" s="34"/>
      <c r="D9" s="4"/>
    </row>
    <row r="10" spans="1:4" ht="11.25">
      <c r="A10" s="5" t="s">
        <v>120</v>
      </c>
      <c r="B10" s="52">
        <v>14.18</v>
      </c>
      <c r="C10" s="52">
        <v>13.93</v>
      </c>
      <c r="D10" s="4"/>
    </row>
    <row r="11" spans="1:4" ht="11.25">
      <c r="A11" s="5"/>
      <c r="B11" s="34"/>
      <c r="C11" s="34"/>
      <c r="D11" s="4"/>
    </row>
    <row r="12" spans="1:4" ht="11.25">
      <c r="A12" s="5" t="s">
        <v>5</v>
      </c>
      <c r="B12" s="52">
        <v>8.23</v>
      </c>
      <c r="C12" s="52">
        <v>8.35</v>
      </c>
      <c r="D12" s="4"/>
    </row>
    <row r="13" spans="1:4" ht="11.25">
      <c r="A13" s="5"/>
      <c r="B13" s="34"/>
      <c r="C13" s="34"/>
      <c r="D13" s="4"/>
    </row>
    <row r="14" spans="1:4" ht="12">
      <c r="A14" s="6" t="s">
        <v>6</v>
      </c>
      <c r="B14" s="34"/>
      <c r="C14" s="34"/>
      <c r="D14" s="4"/>
    </row>
    <row r="15" spans="1:3" ht="11.25">
      <c r="A15" s="5"/>
      <c r="B15" s="34"/>
      <c r="C15" s="34"/>
    </row>
    <row r="16" spans="1:3" ht="11.25">
      <c r="A16" s="5" t="s">
        <v>7</v>
      </c>
      <c r="B16" s="52">
        <v>8.74</v>
      </c>
      <c r="C16" s="52">
        <v>8.71</v>
      </c>
    </row>
    <row r="17" spans="1:3" ht="11.25">
      <c r="A17" s="5" t="s">
        <v>40</v>
      </c>
      <c r="B17" s="52">
        <v>9.24</v>
      </c>
      <c r="C17" s="52">
        <v>9.2</v>
      </c>
    </row>
    <row r="18" spans="1:3" ht="11.25">
      <c r="A18" s="5" t="s">
        <v>8</v>
      </c>
      <c r="B18" s="52">
        <v>100</v>
      </c>
      <c r="C18" s="52">
        <v>150</v>
      </c>
    </row>
    <row r="19" spans="1:3" ht="11.25">
      <c r="A19" s="5" t="s">
        <v>9</v>
      </c>
      <c r="B19" s="52">
        <v>100</v>
      </c>
      <c r="C19" s="52">
        <v>150</v>
      </c>
    </row>
    <row r="20" spans="1:3" ht="11.25">
      <c r="A20" s="5"/>
      <c r="B20" s="34"/>
      <c r="C20" s="34"/>
    </row>
    <row r="21" spans="1:3" ht="12">
      <c r="A21" s="6" t="s">
        <v>10</v>
      </c>
      <c r="B21" s="34"/>
      <c r="C21" s="34"/>
    </row>
    <row r="22" spans="1:3" ht="11.25">
      <c r="A22" s="5"/>
      <c r="B22" s="34"/>
      <c r="C22" s="34"/>
    </row>
    <row r="23" spans="1:3" ht="11.25">
      <c r="A23" s="5" t="s">
        <v>7</v>
      </c>
      <c r="B23" s="52">
        <v>8.72</v>
      </c>
      <c r="C23" s="52">
        <v>8.7</v>
      </c>
    </row>
    <row r="24" spans="1:3" ht="11.25">
      <c r="A24" s="5" t="s">
        <v>39</v>
      </c>
      <c r="B24" s="52">
        <v>9.33</v>
      </c>
      <c r="C24" s="52">
        <v>9.32</v>
      </c>
    </row>
    <row r="25" spans="1:3" ht="11.25">
      <c r="A25" s="5" t="s">
        <v>8</v>
      </c>
      <c r="B25" s="52">
        <v>320</v>
      </c>
      <c r="C25" s="52">
        <v>100</v>
      </c>
    </row>
    <row r="26" spans="1:3" ht="11.25">
      <c r="A26" s="5" t="s">
        <v>9</v>
      </c>
      <c r="B26" s="52">
        <v>320</v>
      </c>
      <c r="C26" s="52">
        <v>100</v>
      </c>
    </row>
    <row r="27" spans="1:3" ht="11.25">
      <c r="A27" s="5"/>
      <c r="B27" s="34"/>
      <c r="C27" s="34"/>
    </row>
    <row r="28" spans="1:3" ht="12">
      <c r="A28" s="6" t="s">
        <v>42</v>
      </c>
      <c r="B28" s="34"/>
      <c r="C28" s="34"/>
    </row>
    <row r="29" spans="1:3" ht="11.25">
      <c r="A29" s="5"/>
      <c r="B29" s="50"/>
      <c r="C29" s="50"/>
    </row>
    <row r="30" spans="1:3" ht="11.25">
      <c r="A30" s="5" t="s">
        <v>7</v>
      </c>
      <c r="B30" s="52">
        <v>8.7</v>
      </c>
      <c r="C30" s="52">
        <v>8.8</v>
      </c>
    </row>
    <row r="31" spans="1:3" ht="11.25">
      <c r="A31" s="5" t="s">
        <v>39</v>
      </c>
      <c r="B31" s="52">
        <v>9.53</v>
      </c>
      <c r="C31" s="52">
        <v>9.65</v>
      </c>
    </row>
    <row r="32" spans="1:3" ht="11.25">
      <c r="A32" s="5" t="s">
        <v>8</v>
      </c>
      <c r="B32" s="52">
        <v>100</v>
      </c>
      <c r="C32" s="52">
        <v>100</v>
      </c>
    </row>
    <row r="33" spans="1:3" ht="11.25">
      <c r="A33" s="5" t="s">
        <v>9</v>
      </c>
      <c r="B33" s="52">
        <v>100</v>
      </c>
      <c r="C33" s="52">
        <v>100</v>
      </c>
    </row>
    <row r="34" spans="1:3" ht="11.25">
      <c r="A34" s="5"/>
      <c r="B34" s="34"/>
      <c r="C34" s="34"/>
    </row>
    <row r="35" spans="1:3" ht="11.25">
      <c r="A35" s="5"/>
      <c r="B35" s="34"/>
      <c r="C35" s="34"/>
    </row>
    <row r="36" spans="1:3" ht="11.25">
      <c r="A36" s="5"/>
      <c r="B36" s="34"/>
      <c r="C36" s="34"/>
    </row>
    <row r="37" spans="1:3" ht="12">
      <c r="A37" s="6" t="s">
        <v>43</v>
      </c>
      <c r="B37" s="187">
        <v>3000</v>
      </c>
      <c r="C37" s="187">
        <v>3000</v>
      </c>
    </row>
    <row r="38" spans="1:3" ht="11.25">
      <c r="A38" s="5"/>
      <c r="B38" s="34"/>
      <c r="C38" s="34"/>
    </row>
    <row r="39" spans="1:3" ht="11.25">
      <c r="A39" s="5"/>
      <c r="B39" s="31"/>
      <c r="C39" s="31"/>
    </row>
    <row r="40" spans="1:3" ht="12" thickBot="1">
      <c r="A40" s="5"/>
      <c r="B40" s="110"/>
      <c r="C40" s="110"/>
    </row>
    <row r="41" spans="1:3" ht="12" thickBot="1">
      <c r="A41" s="3" t="s">
        <v>11</v>
      </c>
      <c r="B41" s="48">
        <f>B2</f>
        <v>39479</v>
      </c>
      <c r="C41" s="48">
        <f>C2</f>
        <v>39509</v>
      </c>
    </row>
    <row r="42" spans="1:3" ht="11.25">
      <c r="A42" s="5"/>
      <c r="B42" s="111"/>
      <c r="C42" s="111"/>
    </row>
    <row r="43" spans="1:3" ht="12">
      <c r="A43" s="6" t="s">
        <v>12</v>
      </c>
      <c r="B43" s="31"/>
      <c r="C43" s="31"/>
    </row>
    <row r="44" spans="1:3" ht="11.25">
      <c r="A44" s="7" t="s">
        <v>93</v>
      </c>
      <c r="B44" s="31"/>
      <c r="C44" s="31"/>
    </row>
    <row r="45" spans="1:3" ht="11.25">
      <c r="A45" s="5" t="s">
        <v>13</v>
      </c>
      <c r="B45" s="49">
        <v>8.82</v>
      </c>
      <c r="C45" s="49">
        <v>8.82</v>
      </c>
    </row>
    <row r="46" spans="1:3" ht="11.25">
      <c r="A46" s="5" t="s">
        <v>8</v>
      </c>
      <c r="B46" s="49">
        <v>8</v>
      </c>
      <c r="C46" s="49">
        <v>8</v>
      </c>
    </row>
    <row r="47" spans="1:3" ht="11.25">
      <c r="A47" s="5" t="s">
        <v>9</v>
      </c>
      <c r="B47" s="49">
        <v>0</v>
      </c>
      <c r="C47" s="49">
        <v>0</v>
      </c>
    </row>
    <row r="48" spans="1:3" ht="11.25">
      <c r="A48" s="5"/>
      <c r="B48" s="34"/>
      <c r="C48" s="34"/>
    </row>
    <row r="49" spans="1:3" ht="11.25">
      <c r="A49" s="5" t="s">
        <v>14</v>
      </c>
      <c r="B49" s="187">
        <v>5781.99</v>
      </c>
      <c r="C49" s="187">
        <v>5782.99</v>
      </c>
    </row>
    <row r="50" spans="1:3" ht="12" thickBot="1">
      <c r="A50" s="5"/>
      <c r="B50" s="110"/>
      <c r="C50" s="110"/>
    </row>
    <row r="51" spans="1:3" ht="12" thickBot="1">
      <c r="A51" s="3" t="s">
        <v>15</v>
      </c>
      <c r="B51" s="48">
        <f>B41</f>
        <v>39479</v>
      </c>
      <c r="C51" s="48">
        <f>C41</f>
        <v>39509</v>
      </c>
    </row>
    <row r="52" spans="1:3" ht="11.25">
      <c r="A52" s="5"/>
      <c r="B52" s="111"/>
      <c r="C52" s="111"/>
    </row>
    <row r="53" spans="1:3" ht="12">
      <c r="A53" s="6" t="s">
        <v>16</v>
      </c>
      <c r="B53" s="31"/>
      <c r="C53" s="31"/>
    </row>
    <row r="54" spans="1:3" ht="11.25">
      <c r="A54" s="5"/>
      <c r="B54" s="31"/>
      <c r="C54" s="31"/>
    </row>
    <row r="55" spans="1:4" ht="11.25">
      <c r="A55" s="5" t="s">
        <v>17</v>
      </c>
      <c r="B55" s="187">
        <v>18.34</v>
      </c>
      <c r="C55" s="187">
        <v>14.09</v>
      </c>
      <c r="D55" s="8"/>
    </row>
    <row r="56" spans="1:9" ht="11.25">
      <c r="A56" s="5" t="s">
        <v>18</v>
      </c>
      <c r="B56" s="188">
        <v>609.29</v>
      </c>
      <c r="C56" s="188">
        <v>508.49</v>
      </c>
      <c r="D56" s="8"/>
      <c r="G56" s="9"/>
      <c r="I56" s="9"/>
    </row>
    <row r="57" spans="1:4" ht="11.25">
      <c r="A57" s="5" t="s">
        <v>19</v>
      </c>
      <c r="B57" s="188">
        <v>987.76</v>
      </c>
      <c r="C57" s="188">
        <v>938.91</v>
      </c>
      <c r="D57" s="10"/>
    </row>
    <row r="58" spans="1:4" ht="11.25">
      <c r="A58" s="5" t="s">
        <v>20</v>
      </c>
      <c r="B58" s="188">
        <v>1255</v>
      </c>
      <c r="C58" s="188">
        <v>1205.34</v>
      </c>
      <c r="D58" s="10"/>
    </row>
    <row r="59" spans="1:4" ht="11.25">
      <c r="A59" s="5" t="s">
        <v>21</v>
      </c>
      <c r="B59" s="188">
        <v>706.95</v>
      </c>
      <c r="C59" s="188">
        <v>682.03</v>
      </c>
      <c r="D59" s="10"/>
    </row>
    <row r="60" spans="1:9" ht="11.25">
      <c r="A60" s="5" t="s">
        <v>22</v>
      </c>
      <c r="B60" s="188">
        <v>491.54</v>
      </c>
      <c r="C60" s="188">
        <v>466.03</v>
      </c>
      <c r="D60" s="10"/>
      <c r="G60" s="9"/>
      <c r="I60" s="9"/>
    </row>
    <row r="61" spans="1:9" ht="11.25">
      <c r="A61" s="5" t="s">
        <v>23</v>
      </c>
      <c r="B61" s="188">
        <v>20.42</v>
      </c>
      <c r="C61" s="188">
        <v>22.92</v>
      </c>
      <c r="D61" s="10"/>
      <c r="G61" s="9"/>
      <c r="I61" s="9"/>
    </row>
    <row r="62" spans="1:3" ht="11.25">
      <c r="A62" s="5" t="s">
        <v>24</v>
      </c>
      <c r="B62" s="188">
        <v>34.17</v>
      </c>
      <c r="C62" s="188">
        <v>32.11</v>
      </c>
    </row>
    <row r="63" spans="1:3" ht="11.25">
      <c r="A63" s="5" t="s">
        <v>25</v>
      </c>
      <c r="B63" s="188">
        <v>2</v>
      </c>
      <c r="C63" s="188">
        <v>2.24</v>
      </c>
    </row>
    <row r="64" spans="1:3" ht="11.25">
      <c r="A64" s="5"/>
      <c r="B64" s="188"/>
      <c r="C64" s="188"/>
    </row>
    <row r="65" spans="1:3" ht="12">
      <c r="A65" s="6" t="s">
        <v>26</v>
      </c>
      <c r="B65" s="188"/>
      <c r="C65" s="188"/>
    </row>
    <row r="66" spans="1:4" ht="11.25">
      <c r="A66" s="5"/>
      <c r="B66" s="188"/>
      <c r="C66" s="188"/>
      <c r="D66" s="8"/>
    </row>
    <row r="67" spans="1:4" ht="11.25">
      <c r="A67" s="5" t="s">
        <v>17</v>
      </c>
      <c r="B67" s="188">
        <v>0.56</v>
      </c>
      <c r="C67" s="188">
        <v>4.87</v>
      </c>
      <c r="D67" s="8"/>
    </row>
    <row r="68" spans="1:4" ht="11.25">
      <c r="A68" s="5" t="s">
        <v>18</v>
      </c>
      <c r="B68" s="188">
        <v>3.43</v>
      </c>
      <c r="C68" s="188">
        <v>21</v>
      </c>
      <c r="D68" s="9"/>
    </row>
    <row r="69" spans="1:4" ht="11.25">
      <c r="A69" s="5" t="s">
        <v>19</v>
      </c>
      <c r="B69" s="188">
        <v>137.07</v>
      </c>
      <c r="C69" s="188">
        <v>138.88</v>
      </c>
      <c r="D69" s="9"/>
    </row>
    <row r="70" spans="1:4" ht="11.25">
      <c r="A70" s="5" t="s">
        <v>20</v>
      </c>
      <c r="B70" s="52">
        <v>4.9</v>
      </c>
      <c r="C70" s="52">
        <v>4.97</v>
      </c>
      <c r="D70" s="9"/>
    </row>
    <row r="71" spans="1:4" ht="11.25">
      <c r="A71" s="5" t="s">
        <v>21</v>
      </c>
      <c r="B71" s="34">
        <v>0</v>
      </c>
      <c r="C71" s="34">
        <v>0</v>
      </c>
      <c r="D71" s="9"/>
    </row>
    <row r="72" spans="1:4" ht="11.25">
      <c r="A72" s="5" t="s">
        <v>22</v>
      </c>
      <c r="B72" s="34">
        <v>3.88</v>
      </c>
      <c r="C72" s="34">
        <v>3.9</v>
      </c>
      <c r="D72" s="9"/>
    </row>
    <row r="73" spans="1:3" ht="11.25">
      <c r="A73" s="5" t="s">
        <v>23</v>
      </c>
      <c r="B73" s="34">
        <v>0.99</v>
      </c>
      <c r="C73" s="34">
        <v>1.04</v>
      </c>
    </row>
    <row r="74" spans="1:3" ht="11.25">
      <c r="A74" s="5" t="s">
        <v>24</v>
      </c>
      <c r="B74" s="34">
        <v>0.35</v>
      </c>
      <c r="C74" s="34">
        <v>0.35</v>
      </c>
    </row>
    <row r="75" spans="1:3" ht="11.25">
      <c r="A75" s="5" t="s">
        <v>25</v>
      </c>
      <c r="B75" s="34">
        <v>0</v>
      </c>
      <c r="C75" s="34">
        <v>0</v>
      </c>
    </row>
    <row r="76" spans="1:3" ht="12" thickBot="1">
      <c r="A76" s="5"/>
      <c r="B76" s="112" t="s">
        <v>148</v>
      </c>
      <c r="C76" s="112" t="s">
        <v>148</v>
      </c>
    </row>
    <row r="77" spans="1:3" ht="12" thickBot="1">
      <c r="A77" s="3" t="s">
        <v>92</v>
      </c>
      <c r="B77" s="48">
        <f>B51</f>
        <v>39479</v>
      </c>
      <c r="C77" s="48">
        <f>C51</f>
        <v>39509</v>
      </c>
    </row>
    <row r="78" spans="1:3" ht="11.25">
      <c r="A78" s="5"/>
      <c r="B78" s="111"/>
      <c r="C78" s="111"/>
    </row>
    <row r="79" spans="1:3" ht="11.25">
      <c r="A79" s="5"/>
      <c r="B79" s="31"/>
      <c r="C79" s="31"/>
    </row>
    <row r="80" spans="1:3" ht="11.25">
      <c r="A80" s="5" t="s">
        <v>27</v>
      </c>
      <c r="B80" s="109">
        <v>7.9</v>
      </c>
      <c r="C80" s="109">
        <v>8.4</v>
      </c>
    </row>
    <row r="81" spans="1:3" ht="11.25">
      <c r="A81" s="5" t="s">
        <v>28</v>
      </c>
      <c r="B81" s="109">
        <v>1.9</v>
      </c>
      <c r="C81" s="109">
        <v>3</v>
      </c>
    </row>
    <row r="82" spans="1:3" ht="12" thickBot="1">
      <c r="A82" s="11" t="s">
        <v>29</v>
      </c>
      <c r="B82" s="54">
        <v>0.4</v>
      </c>
      <c r="C82" s="54">
        <v>1.1</v>
      </c>
    </row>
    <row r="83" ht="11.25">
      <c r="A83" s="2" t="s">
        <v>127</v>
      </c>
    </row>
    <row r="84" ht="11.25">
      <c r="A84" s="2" t="s">
        <v>136</v>
      </c>
    </row>
    <row r="85" ht="11.25">
      <c r="A85" s="2" t="s">
        <v>149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102"/>
  <sheetViews>
    <sheetView showGridLines="0" zoomScale="60" zoomScaleNormal="60" zoomScaleSheetLayoutView="75" zoomScalePageLayoutView="0" workbookViewId="0" topLeftCell="B73">
      <selection activeCell="B4" sqref="A4:U102"/>
    </sheetView>
  </sheetViews>
  <sheetFormatPr defaultColWidth="9.140625" defaultRowHeight="12"/>
  <cols>
    <col min="1" max="1" width="0.13671875" style="0" hidden="1" customWidth="1"/>
  </cols>
  <sheetData>
    <row r="2" spans="5:15" ht="15">
      <c r="E2" s="291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3:13" ht="21"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7" ht="21">
      <c r="A4" s="14"/>
      <c r="B4" s="14"/>
      <c r="C4" s="288" t="s">
        <v>128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14"/>
      <c r="O4" s="14"/>
      <c r="P4" s="14"/>
      <c r="Q4" s="14"/>
    </row>
    <row r="5" spans="1:17" ht="17.25">
      <c r="A5" s="14"/>
      <c r="B5" s="14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14"/>
      <c r="M7" s="14"/>
      <c r="N7" s="14"/>
      <c r="O7" s="14"/>
      <c r="P7" s="14"/>
      <c r="Q7" s="14"/>
    </row>
    <row r="8" spans="1:17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00"/>
      <c r="P8" s="14"/>
      <c r="Q8" s="14"/>
    </row>
    <row r="9" spans="1:17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4"/>
      <c r="C27" s="136"/>
      <c r="D27" s="107"/>
      <c r="E27" s="10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>
      <c r="A28" s="14"/>
      <c r="B28" s="15"/>
      <c r="C28" s="99"/>
      <c r="D28" s="100"/>
      <c r="E28" s="10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4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5">
      <c r="A30" s="14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2:17" ht="15">
      <c r="L31" s="14"/>
      <c r="M31" s="14"/>
      <c r="N31" s="14"/>
      <c r="O31" s="14"/>
      <c r="P31" s="14"/>
      <c r="Q31" s="14"/>
    </row>
    <row r="32" spans="1:17" ht="17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"/>
      <c r="M32" s="14"/>
      <c r="N32" s="14"/>
      <c r="O32" s="14"/>
      <c r="P32" s="14"/>
      <c r="Q32" s="14"/>
    </row>
    <row r="33" spans="1:17" ht="21">
      <c r="A33" s="14"/>
      <c r="B33" s="14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14"/>
      <c r="O33" s="14"/>
      <c r="P33" s="14"/>
      <c r="Q33" s="14"/>
    </row>
    <row r="34" spans="1:17" ht="15">
      <c r="A34" s="14"/>
      <c r="B34" s="14"/>
      <c r="N34" s="14"/>
      <c r="O34" s="14"/>
      <c r="P34" s="14"/>
      <c r="Q34" s="14"/>
    </row>
    <row r="35" spans="1:17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21">
      <c r="A36" s="14"/>
      <c r="B36" s="15"/>
      <c r="C36" s="288" t="s">
        <v>170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14"/>
      <c r="O36" s="14"/>
      <c r="P36" s="14"/>
      <c r="Q36" s="14"/>
    </row>
    <row r="37" spans="1:1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">
      <c r="A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5">
      <c r="A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">
      <c r="A41" s="14"/>
      <c r="B41" s="15"/>
      <c r="D41" s="10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>
      <c r="A42" s="14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">
      <c r="A43" s="14"/>
      <c r="B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2:17" ht="15">
      <c r="L44" s="14"/>
      <c r="M44" s="14"/>
      <c r="N44" s="14"/>
      <c r="O44" s="14"/>
      <c r="P44" s="14"/>
      <c r="Q44" s="14"/>
    </row>
    <row r="45" spans="1:17" ht="15">
      <c r="A45" s="14"/>
      <c r="B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>
      <c r="A47" s="14"/>
      <c r="B47" s="14"/>
      <c r="N47" s="14"/>
      <c r="O47" s="14"/>
      <c r="P47" s="14"/>
      <c r="Q47" s="14"/>
    </row>
    <row r="48" spans="1:1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">
      <c r="A55" s="14"/>
      <c r="B55" s="14"/>
      <c r="C55" s="14"/>
      <c r="O55" s="14"/>
      <c r="P55" s="14"/>
      <c r="Q55" s="14"/>
    </row>
    <row r="56" spans="1:17" ht="15">
      <c r="A56" s="14"/>
      <c r="B56" s="14"/>
      <c r="D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">
      <c r="A58" s="14"/>
      <c r="B58" s="14"/>
      <c r="C58" s="14"/>
      <c r="O58" s="14"/>
      <c r="P58" s="14"/>
      <c r="Q58" s="14"/>
    </row>
    <row r="59" spans="1:17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">
      <c r="A60" s="14"/>
      <c r="B60" s="14"/>
      <c r="C60" s="135" t="s">
        <v>122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">
      <c r="A61" s="14"/>
      <c r="B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">
      <c r="A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6" spans="3:13" ht="21">
      <c r="C66" s="289" t="s">
        <v>129</v>
      </c>
      <c r="D66" s="290"/>
      <c r="E66" s="290"/>
      <c r="F66" s="290"/>
      <c r="G66" s="290"/>
      <c r="H66" s="290"/>
      <c r="I66" s="290"/>
      <c r="J66" s="290"/>
      <c r="K66" s="290"/>
      <c r="L66" s="290"/>
      <c r="M66" s="290"/>
    </row>
    <row r="102" spans="3:6" ht="15">
      <c r="C102" s="135" t="s">
        <v>123</v>
      </c>
      <c r="D102" s="137"/>
      <c r="E102" s="137"/>
      <c r="F102" s="137"/>
    </row>
  </sheetData>
  <sheetProtection/>
  <mergeCells count="7">
    <mergeCell ref="A7:K7"/>
    <mergeCell ref="C33:M33"/>
    <mergeCell ref="C66:M66"/>
    <mergeCell ref="E2:O2"/>
    <mergeCell ref="C4:M4"/>
    <mergeCell ref="C3:M3"/>
    <mergeCell ref="C36:M36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L21"/>
  <sheetViews>
    <sheetView showGridLines="0" zoomScaleSheetLayoutView="75" zoomScalePageLayoutView="0" workbookViewId="0" topLeftCell="BB10">
      <selection activeCell="B2" sqref="B2:BL21"/>
    </sheetView>
  </sheetViews>
  <sheetFormatPr defaultColWidth="9.140625" defaultRowHeight="19.5" customHeight="1"/>
  <cols>
    <col min="1" max="1" width="4.7109375" style="32" customWidth="1"/>
    <col min="2" max="2" width="57.8515625" style="32" customWidth="1"/>
    <col min="3" max="7" width="9.8515625" style="32" hidden="1" customWidth="1"/>
    <col min="8" max="8" width="11.28125" style="32" hidden="1" customWidth="1"/>
    <col min="9" max="9" width="11.8515625" style="32" hidden="1" customWidth="1"/>
    <col min="10" max="11" width="9.8515625" style="32" hidden="1" customWidth="1"/>
    <col min="12" max="12" width="11.140625" style="32" hidden="1" customWidth="1"/>
    <col min="13" max="13" width="11.421875" style="32" hidden="1" customWidth="1"/>
    <col min="14" max="14" width="11.00390625" style="32" hidden="1" customWidth="1"/>
    <col min="15" max="15" width="10.140625" style="32" hidden="1" customWidth="1"/>
    <col min="16" max="16" width="9.8515625" style="32" hidden="1" customWidth="1"/>
    <col min="17" max="17" width="11.28125" style="32" hidden="1" customWidth="1"/>
    <col min="18" max="18" width="10.7109375" style="32" hidden="1" customWidth="1"/>
    <col min="19" max="19" width="11.00390625" style="32" hidden="1" customWidth="1"/>
    <col min="20" max="20" width="14.7109375" style="32" hidden="1" customWidth="1"/>
    <col min="21" max="21" width="2.00390625" style="32" hidden="1" customWidth="1"/>
    <col min="22" max="22" width="10.421875" style="32" hidden="1" customWidth="1"/>
    <col min="23" max="23" width="9.8515625" style="32" hidden="1" customWidth="1"/>
    <col min="24" max="24" width="9.421875" style="32" hidden="1" customWidth="1"/>
    <col min="25" max="25" width="11.28125" style="32" hidden="1" customWidth="1"/>
    <col min="26" max="26" width="10.421875" style="32" hidden="1" customWidth="1"/>
    <col min="27" max="27" width="10.8515625" style="32" hidden="1" customWidth="1"/>
    <col min="28" max="28" width="11.00390625" style="32" hidden="1" customWidth="1"/>
    <col min="29" max="29" width="11.7109375" style="32" hidden="1" customWidth="1"/>
    <col min="30" max="30" width="9.8515625" style="32" hidden="1" customWidth="1"/>
    <col min="31" max="31" width="10.8515625" style="32" hidden="1" customWidth="1"/>
    <col min="32" max="32" width="11.8515625" style="32" hidden="1" customWidth="1"/>
    <col min="33" max="33" width="12.140625" style="32" hidden="1" customWidth="1"/>
    <col min="34" max="34" width="11.421875" style="32" hidden="1" customWidth="1"/>
    <col min="35" max="35" width="11.140625" style="32" hidden="1" customWidth="1"/>
    <col min="36" max="36" width="10.8515625" style="32" hidden="1" customWidth="1"/>
    <col min="37" max="40" width="10.421875" style="32" hidden="1" customWidth="1"/>
    <col min="41" max="41" width="11.421875" style="32" hidden="1" customWidth="1"/>
    <col min="42" max="44" width="11.00390625" style="32" hidden="1" customWidth="1"/>
    <col min="45" max="48" width="12.7109375" style="32" hidden="1" customWidth="1"/>
    <col min="49" max="49" width="11.421875" style="32" hidden="1" customWidth="1"/>
    <col min="50" max="50" width="10.7109375" style="32" hidden="1" customWidth="1"/>
    <col min="51" max="51" width="11.8515625" style="32" hidden="1" customWidth="1"/>
    <col min="52" max="52" width="11.8515625" style="32" customWidth="1"/>
    <col min="53" max="53" width="11.28125" style="32" customWidth="1"/>
    <col min="54" max="54" width="11.421875" style="32" customWidth="1"/>
    <col min="55" max="55" width="10.421875" style="32" customWidth="1"/>
    <col min="56" max="56" width="11.00390625" style="32" customWidth="1"/>
    <col min="57" max="57" width="11.421875" style="32" customWidth="1"/>
    <col min="58" max="58" width="11.00390625" style="32" customWidth="1"/>
    <col min="59" max="59" width="10.421875" style="32" customWidth="1"/>
    <col min="60" max="60" width="11.7109375" style="32" customWidth="1"/>
    <col min="61" max="61" width="10.8515625" style="32" customWidth="1"/>
    <col min="62" max="62" width="10.421875" style="32" customWidth="1"/>
    <col min="63" max="63" width="11.7109375" style="32" customWidth="1"/>
    <col min="64" max="64" width="11.8515625" style="32" customWidth="1"/>
    <col min="65" max="16384" width="9.140625" style="32" customWidth="1"/>
  </cols>
  <sheetData>
    <row r="2" spans="1:48" ht="19.5" customHeight="1">
      <c r="A2" s="151"/>
      <c r="B2" s="152" t="s">
        <v>150</v>
      </c>
      <c r="C2" s="153"/>
      <c r="D2" s="153"/>
      <c r="E2" s="153"/>
      <c r="F2" s="154"/>
      <c r="G2" s="155"/>
      <c r="H2" s="154"/>
      <c r="I2" s="155"/>
      <c r="J2" s="155"/>
      <c r="K2" s="154"/>
      <c r="L2" s="154"/>
      <c r="M2" s="155"/>
      <c r="N2" s="155"/>
      <c r="O2" s="156"/>
      <c r="P2" s="155"/>
      <c r="Q2" s="154"/>
      <c r="R2" s="155"/>
      <c r="S2" s="155"/>
      <c r="T2" s="157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</row>
    <row r="3" spans="1:62" ht="19.5" customHeight="1" thickBot="1">
      <c r="A3" s="151"/>
      <c r="B3" s="142"/>
      <c r="C3" s="142"/>
      <c r="D3" s="142"/>
      <c r="E3" s="142"/>
      <c r="F3" s="143"/>
      <c r="G3" s="143"/>
      <c r="H3" s="143"/>
      <c r="I3" s="144"/>
      <c r="J3" s="144"/>
      <c r="K3" s="143"/>
      <c r="L3" s="143"/>
      <c r="M3" s="144"/>
      <c r="N3" s="144"/>
      <c r="O3" s="145"/>
      <c r="P3" s="144"/>
      <c r="Q3" s="143"/>
      <c r="R3" s="144"/>
      <c r="S3" s="144"/>
      <c r="T3" s="146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4" ht="19.5" customHeight="1" thickBot="1">
      <c r="A4" s="151"/>
      <c r="B4" s="180"/>
      <c r="C4" s="140">
        <v>37655</v>
      </c>
      <c r="D4" s="140">
        <v>37681</v>
      </c>
      <c r="E4" s="140">
        <v>37712</v>
      </c>
      <c r="F4" s="140">
        <v>37742</v>
      </c>
      <c r="G4" s="140">
        <v>37773</v>
      </c>
      <c r="H4" s="140">
        <v>37803</v>
      </c>
      <c r="I4" s="140">
        <v>37834</v>
      </c>
      <c r="J4" s="140">
        <v>37865</v>
      </c>
      <c r="K4" s="140">
        <v>37895</v>
      </c>
      <c r="L4" s="140">
        <v>37926</v>
      </c>
      <c r="M4" s="140">
        <v>37956</v>
      </c>
      <c r="N4" s="140">
        <v>37987</v>
      </c>
      <c r="O4" s="141">
        <v>38018</v>
      </c>
      <c r="P4" s="140">
        <v>38047</v>
      </c>
      <c r="Q4" s="140">
        <v>38078</v>
      </c>
      <c r="R4" s="140">
        <v>38108</v>
      </c>
      <c r="S4" s="140">
        <v>38139</v>
      </c>
      <c r="T4" s="140">
        <v>38169</v>
      </c>
      <c r="U4" s="140">
        <v>38200</v>
      </c>
      <c r="V4" s="140">
        <v>38231</v>
      </c>
      <c r="W4" s="140">
        <v>38261</v>
      </c>
      <c r="X4" s="140">
        <v>38292</v>
      </c>
      <c r="Y4" s="140">
        <v>38322</v>
      </c>
      <c r="Z4" s="140">
        <v>38353</v>
      </c>
      <c r="AA4" s="140">
        <v>38384</v>
      </c>
      <c r="AB4" s="140">
        <v>38412</v>
      </c>
      <c r="AC4" s="140">
        <v>38443</v>
      </c>
      <c r="AD4" s="140">
        <v>38473</v>
      </c>
      <c r="AE4" s="140">
        <v>38504</v>
      </c>
      <c r="AF4" s="140">
        <v>38534</v>
      </c>
      <c r="AG4" s="140">
        <v>38565</v>
      </c>
      <c r="AH4" s="140">
        <v>38596</v>
      </c>
      <c r="AI4" s="140">
        <v>38626</v>
      </c>
      <c r="AJ4" s="140">
        <v>38657</v>
      </c>
      <c r="AK4" s="140">
        <v>38687</v>
      </c>
      <c r="AL4" s="140">
        <v>38718</v>
      </c>
      <c r="AM4" s="140">
        <v>38749</v>
      </c>
      <c r="AN4" s="140">
        <v>38777</v>
      </c>
      <c r="AO4" s="140">
        <v>38808</v>
      </c>
      <c r="AP4" s="140">
        <v>38838</v>
      </c>
      <c r="AQ4" s="140">
        <v>38869</v>
      </c>
      <c r="AR4" s="140">
        <v>38929</v>
      </c>
      <c r="AS4" s="140">
        <v>38960</v>
      </c>
      <c r="AT4" s="140">
        <v>38990</v>
      </c>
      <c r="AU4" s="140">
        <v>39021</v>
      </c>
      <c r="AV4" s="140">
        <v>39051</v>
      </c>
      <c r="AW4" s="140">
        <v>39082</v>
      </c>
      <c r="AX4" s="189">
        <v>39113</v>
      </c>
      <c r="AY4" s="189">
        <v>39141</v>
      </c>
      <c r="AZ4" s="189">
        <v>39172</v>
      </c>
      <c r="BA4" s="189">
        <v>39202</v>
      </c>
      <c r="BB4" s="189">
        <v>39233</v>
      </c>
      <c r="BC4" s="189">
        <v>39263</v>
      </c>
      <c r="BD4" s="189">
        <v>39294</v>
      </c>
      <c r="BE4" s="189">
        <v>39325</v>
      </c>
      <c r="BF4" s="189">
        <v>39355</v>
      </c>
      <c r="BG4" s="189">
        <v>39386</v>
      </c>
      <c r="BH4" s="189">
        <v>39416</v>
      </c>
      <c r="BI4" s="189">
        <v>39447</v>
      </c>
      <c r="BJ4" s="189">
        <v>39478</v>
      </c>
      <c r="BK4" s="189">
        <v>39507</v>
      </c>
      <c r="BL4" s="189">
        <v>39538</v>
      </c>
    </row>
    <row r="5" spans="1:64" ht="19.5" customHeight="1">
      <c r="A5" s="179"/>
      <c r="B5" s="67" t="s">
        <v>94</v>
      </c>
      <c r="C5" s="68"/>
      <c r="D5" s="68"/>
      <c r="E5" s="69"/>
      <c r="F5" s="70"/>
      <c r="G5" s="70"/>
      <c r="H5" s="70"/>
      <c r="I5" s="70"/>
      <c r="J5" s="70"/>
      <c r="K5" s="70"/>
      <c r="L5" s="70"/>
      <c r="M5" s="71"/>
      <c r="N5" s="70"/>
      <c r="O5" s="72"/>
      <c r="P5" s="73"/>
      <c r="Q5" s="70"/>
      <c r="R5" s="73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9.5" customHeight="1">
      <c r="A6" s="151"/>
      <c r="B6" s="67"/>
      <c r="C6" s="68"/>
      <c r="D6" s="68"/>
      <c r="E6" s="69"/>
      <c r="F6" s="70"/>
      <c r="G6" s="70"/>
      <c r="H6" s="70"/>
      <c r="I6" s="70"/>
      <c r="J6" s="70"/>
      <c r="K6" s="70"/>
      <c r="L6" s="70"/>
      <c r="M6" s="71"/>
      <c r="N6" s="70"/>
      <c r="O6" s="72"/>
      <c r="P6" s="73"/>
      <c r="Q6" s="70"/>
      <c r="R6" s="73"/>
      <c r="S6" s="73"/>
      <c r="T6" s="74"/>
      <c r="U6" s="73"/>
      <c r="V6" s="73"/>
      <c r="W6" s="73"/>
      <c r="X6" s="73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2:64" ht="19.5" customHeight="1">
      <c r="B7" s="67" t="s">
        <v>133</v>
      </c>
      <c r="C7" s="75">
        <v>2595.44027685</v>
      </c>
      <c r="D7" s="75">
        <v>2187.8368766900003</v>
      </c>
      <c r="E7" s="75">
        <v>2272.4872471500003</v>
      </c>
      <c r="F7" s="76">
        <v>2113.36340838</v>
      </c>
      <c r="G7" s="76">
        <v>2165.8</v>
      </c>
      <c r="H7" s="77">
        <v>2129.6</v>
      </c>
      <c r="I7" s="70">
        <v>1891</v>
      </c>
      <c r="J7" s="76">
        <v>2181.2</v>
      </c>
      <c r="K7" s="76">
        <v>2467.9</v>
      </c>
      <c r="L7" s="76">
        <v>2091</v>
      </c>
      <c r="M7" s="78">
        <v>2110.3</v>
      </c>
      <c r="N7" s="76">
        <v>2710.8702829799995</v>
      </c>
      <c r="O7" s="79">
        <v>1935.4129830699999</v>
      </c>
      <c r="P7" s="80">
        <v>1824.1042653499997</v>
      </c>
      <c r="Q7" s="70">
        <v>2395.6</v>
      </c>
      <c r="R7" s="70">
        <v>1860.4</v>
      </c>
      <c r="S7" s="70">
        <v>1783.2</v>
      </c>
      <c r="T7" s="70">
        <v>1984.6</v>
      </c>
      <c r="U7" s="70">
        <v>1989.9</v>
      </c>
      <c r="V7" s="70">
        <v>1808.2</v>
      </c>
      <c r="W7" s="70">
        <v>2207.6</v>
      </c>
      <c r="X7" s="70">
        <v>1987.9</v>
      </c>
      <c r="Y7" s="70">
        <v>1977.3</v>
      </c>
      <c r="Z7" s="70">
        <v>2327.5</v>
      </c>
      <c r="AA7" s="70">
        <v>2029.5</v>
      </c>
      <c r="AB7" s="70">
        <v>1912.6</v>
      </c>
      <c r="AC7" s="70">
        <v>2303.8</v>
      </c>
      <c r="AD7" s="70">
        <v>2107.1</v>
      </c>
      <c r="AE7" s="70">
        <v>1874.1</v>
      </c>
      <c r="AF7" s="70">
        <v>2354.7</v>
      </c>
      <c r="AG7" s="70">
        <v>2159.1</v>
      </c>
      <c r="AH7" s="70">
        <v>1818.2</v>
      </c>
      <c r="AI7" s="76">
        <v>2245</v>
      </c>
      <c r="AJ7" s="76">
        <v>1902.22246</v>
      </c>
      <c r="AK7" s="76">
        <v>1983.9</v>
      </c>
      <c r="AL7" s="76">
        <v>2705.5</v>
      </c>
      <c r="AM7" s="76">
        <v>2696</v>
      </c>
      <c r="AN7" s="76">
        <v>2458.1</v>
      </c>
      <c r="AO7" s="76">
        <v>3129.7</v>
      </c>
      <c r="AP7" s="76">
        <v>2973</v>
      </c>
      <c r="AQ7" s="76">
        <v>2677.9</v>
      </c>
      <c r="AR7" s="76">
        <v>3313.1</v>
      </c>
      <c r="AS7" s="76">
        <v>2760.7</v>
      </c>
      <c r="AT7" s="76">
        <v>3119.2</v>
      </c>
      <c r="AU7" s="76">
        <v>4104.4</v>
      </c>
      <c r="AV7" s="76">
        <v>3495.2</v>
      </c>
      <c r="AW7" s="76">
        <v>3164.3</v>
      </c>
      <c r="AX7" s="76">
        <v>4865.6</v>
      </c>
      <c r="AY7" s="76">
        <v>4466.4</v>
      </c>
      <c r="AZ7" s="76">
        <v>5690</v>
      </c>
      <c r="BA7" s="76">
        <v>6260.1</v>
      </c>
      <c r="BB7" s="76">
        <v>5643.8</v>
      </c>
      <c r="BC7" s="77">
        <v>6085.3</v>
      </c>
      <c r="BD7" s="77">
        <v>7455.9</v>
      </c>
      <c r="BE7" s="77">
        <v>6359</v>
      </c>
      <c r="BF7" s="77">
        <v>5868.650081049999</v>
      </c>
      <c r="BG7" s="77">
        <v>6499.853570999999</v>
      </c>
      <c r="BH7" s="77">
        <v>6257.02633294</v>
      </c>
      <c r="BI7" s="77">
        <v>6743.949222620002</v>
      </c>
      <c r="BJ7" s="77">
        <v>8497.90853458</v>
      </c>
      <c r="BK7" s="77">
        <v>8656.654479950002</v>
      </c>
      <c r="BL7" s="77">
        <v>8900.78</v>
      </c>
    </row>
    <row r="8" spans="2:64" ht="19.5" customHeight="1">
      <c r="B8" s="67" t="s">
        <v>30</v>
      </c>
      <c r="C8" s="81"/>
      <c r="D8" s="81">
        <f>D7-C7</f>
        <v>-407.60340015999964</v>
      </c>
      <c r="E8" s="81">
        <f>E7-D7</f>
        <v>84.65037045999998</v>
      </c>
      <c r="F8" s="81">
        <f>F7-E7</f>
        <v>-159.12383877000048</v>
      </c>
      <c r="G8" s="81">
        <f aca="true" t="shared" si="0" ref="G8:AG8">G7-F7</f>
        <v>52.4365916200004</v>
      </c>
      <c r="H8" s="81">
        <f t="shared" si="0"/>
        <v>-36.20000000000027</v>
      </c>
      <c r="I8" s="81">
        <f t="shared" si="0"/>
        <v>-238.5999999999999</v>
      </c>
      <c r="J8" s="81">
        <f t="shared" si="0"/>
        <v>290.1999999999998</v>
      </c>
      <c r="K8" s="81">
        <f t="shared" si="0"/>
        <v>286.7000000000003</v>
      </c>
      <c r="L8" s="81">
        <f t="shared" si="0"/>
        <v>-376.9000000000001</v>
      </c>
      <c r="M8" s="81">
        <f t="shared" si="0"/>
        <v>19.300000000000182</v>
      </c>
      <c r="N8" s="81">
        <f t="shared" si="0"/>
        <v>600.5702829799993</v>
      </c>
      <c r="O8" s="82">
        <f t="shared" si="0"/>
        <v>-775.4572999099996</v>
      </c>
      <c r="P8" s="77">
        <f t="shared" si="0"/>
        <v>-111.30871772000023</v>
      </c>
      <c r="Q8" s="77">
        <f t="shared" si="0"/>
        <v>571.4957346500003</v>
      </c>
      <c r="R8" s="77">
        <f t="shared" si="0"/>
        <v>-535.1999999999998</v>
      </c>
      <c r="S8" s="77">
        <f t="shared" si="0"/>
        <v>-77.20000000000005</v>
      </c>
      <c r="T8" s="77">
        <f t="shared" si="0"/>
        <v>201.39999999999986</v>
      </c>
      <c r="U8" s="77">
        <f t="shared" si="0"/>
        <v>5.300000000000182</v>
      </c>
      <c r="V8" s="77">
        <f t="shared" si="0"/>
        <v>-181.70000000000005</v>
      </c>
      <c r="W8" s="77">
        <f t="shared" si="0"/>
        <v>399.39999999999986</v>
      </c>
      <c r="X8" s="77">
        <f t="shared" si="0"/>
        <v>-219.69999999999982</v>
      </c>
      <c r="Y8" s="77">
        <f t="shared" si="0"/>
        <v>-10.600000000000136</v>
      </c>
      <c r="Z8" s="77">
        <f t="shared" si="0"/>
        <v>350.20000000000005</v>
      </c>
      <c r="AA8" s="77">
        <f t="shared" si="0"/>
        <v>-298</v>
      </c>
      <c r="AB8" s="77">
        <f t="shared" si="0"/>
        <v>-116.90000000000009</v>
      </c>
      <c r="AC8" s="77">
        <f t="shared" si="0"/>
        <v>391.2000000000003</v>
      </c>
      <c r="AD8" s="77">
        <f t="shared" si="0"/>
        <v>-196.70000000000027</v>
      </c>
      <c r="AE8" s="77">
        <f t="shared" si="0"/>
        <v>-233</v>
      </c>
      <c r="AF8" s="77">
        <f t="shared" si="0"/>
        <v>480.5999999999999</v>
      </c>
      <c r="AG8" s="77">
        <f t="shared" si="0"/>
        <v>-195.5999999999999</v>
      </c>
      <c r="AH8" s="77">
        <f aca="true" t="shared" si="1" ref="AH8:BL8">AH7-AG7</f>
        <v>-340.89999999999986</v>
      </c>
      <c r="AI8" s="77">
        <f t="shared" si="1"/>
        <v>426.79999999999995</v>
      </c>
      <c r="AJ8" s="77">
        <f t="shared" si="1"/>
        <v>-342.77754000000004</v>
      </c>
      <c r="AK8" s="77">
        <f t="shared" si="1"/>
        <v>81.67754000000014</v>
      </c>
      <c r="AL8" s="77">
        <f t="shared" si="1"/>
        <v>721.5999999999999</v>
      </c>
      <c r="AM8" s="77">
        <f t="shared" si="1"/>
        <v>-9.5</v>
      </c>
      <c r="AN8" s="77">
        <f t="shared" si="1"/>
        <v>-237.9000000000001</v>
      </c>
      <c r="AO8" s="77">
        <f t="shared" si="1"/>
        <v>671.5999999999999</v>
      </c>
      <c r="AP8" s="77">
        <f t="shared" si="1"/>
        <v>-156.69999999999982</v>
      </c>
      <c r="AQ8" s="77">
        <f t="shared" si="1"/>
        <v>-295.0999999999999</v>
      </c>
      <c r="AR8" s="77">
        <f t="shared" si="1"/>
        <v>635.1999999999998</v>
      </c>
      <c r="AS8" s="77">
        <f t="shared" si="1"/>
        <v>-552.4000000000001</v>
      </c>
      <c r="AT8" s="77">
        <f t="shared" si="1"/>
        <v>358.5</v>
      </c>
      <c r="AU8" s="77">
        <f t="shared" si="1"/>
        <v>985.1999999999998</v>
      </c>
      <c r="AV8" s="77">
        <f t="shared" si="1"/>
        <v>-609.1999999999998</v>
      </c>
      <c r="AW8" s="77">
        <f t="shared" si="1"/>
        <v>-330.89999999999964</v>
      </c>
      <c r="AX8" s="77">
        <f t="shared" si="1"/>
        <v>1701.3000000000002</v>
      </c>
      <c r="AY8" s="77">
        <f t="shared" si="1"/>
        <v>-399.2000000000007</v>
      </c>
      <c r="AZ8" s="77">
        <f t="shared" si="1"/>
        <v>1223.6000000000004</v>
      </c>
      <c r="BA8" s="77">
        <f t="shared" si="1"/>
        <v>570.1000000000004</v>
      </c>
      <c r="BB8" s="77">
        <f t="shared" si="1"/>
        <v>-616.3000000000002</v>
      </c>
      <c r="BC8" s="77">
        <f t="shared" si="1"/>
        <v>441.5</v>
      </c>
      <c r="BD8" s="77">
        <f t="shared" si="1"/>
        <v>1370.5999999999995</v>
      </c>
      <c r="BE8" s="77">
        <f t="shared" si="1"/>
        <v>-1096.8999999999996</v>
      </c>
      <c r="BF8" s="77">
        <f t="shared" si="1"/>
        <v>-490.34991895000076</v>
      </c>
      <c r="BG8" s="77">
        <f t="shared" si="1"/>
        <v>631.2034899499995</v>
      </c>
      <c r="BH8" s="77">
        <f t="shared" si="1"/>
        <v>-242.8272380599983</v>
      </c>
      <c r="BI8" s="77">
        <f t="shared" si="1"/>
        <v>486.9228896800014</v>
      </c>
      <c r="BJ8" s="77">
        <f t="shared" si="1"/>
        <v>1753.9593119599976</v>
      </c>
      <c r="BK8" s="77">
        <f t="shared" si="1"/>
        <v>158.74594537000303</v>
      </c>
      <c r="BL8" s="77">
        <f t="shared" si="1"/>
        <v>244.12552004999816</v>
      </c>
    </row>
    <row r="9" spans="2:64" ht="19.5" customHeight="1">
      <c r="B9" s="67"/>
      <c r="C9" s="68"/>
      <c r="D9" s="68"/>
      <c r="E9" s="68"/>
      <c r="F9" s="70"/>
      <c r="G9" s="70"/>
      <c r="H9" s="70"/>
      <c r="I9" s="70"/>
      <c r="J9" s="70"/>
      <c r="K9" s="70"/>
      <c r="L9" s="70"/>
      <c r="M9" s="71"/>
      <c r="N9" s="70"/>
      <c r="O9" s="72"/>
      <c r="P9" s="73"/>
      <c r="Q9" s="70"/>
      <c r="R9" s="73"/>
      <c r="S9" s="73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2:64" ht="19.5" customHeight="1">
      <c r="B10" s="67" t="s">
        <v>44</v>
      </c>
      <c r="C10" s="68"/>
      <c r="D10" s="68"/>
      <c r="E10" s="68"/>
      <c r="F10" s="70"/>
      <c r="G10" s="70"/>
      <c r="H10" s="70"/>
      <c r="I10" s="70"/>
      <c r="J10" s="70"/>
      <c r="K10" s="70"/>
      <c r="L10" s="70"/>
      <c r="M10" s="71"/>
      <c r="N10" s="70"/>
      <c r="O10" s="72"/>
      <c r="P10" s="73"/>
      <c r="Q10" s="70"/>
      <c r="R10" s="73"/>
      <c r="S10" s="73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2:64" ht="19.5" customHeight="1">
      <c r="B11" s="67"/>
      <c r="C11" s="68"/>
      <c r="D11" s="68"/>
      <c r="E11" s="68"/>
      <c r="F11" s="70"/>
      <c r="G11" s="70"/>
      <c r="H11" s="70"/>
      <c r="I11" s="70"/>
      <c r="J11" s="70"/>
      <c r="K11" s="70"/>
      <c r="L11" s="70"/>
      <c r="M11" s="71"/>
      <c r="N11" s="70"/>
      <c r="O11" s="72"/>
      <c r="P11" s="73"/>
      <c r="Q11" s="70"/>
      <c r="R11" s="73"/>
      <c r="S11" s="73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2:64" ht="19.5" customHeight="1">
      <c r="B12" s="67" t="s">
        <v>31</v>
      </c>
      <c r="C12" s="68"/>
      <c r="D12" s="68">
        <v>8.0439</v>
      </c>
      <c r="E12" s="68">
        <v>7.7068</v>
      </c>
      <c r="F12" s="83">
        <v>7.6652</v>
      </c>
      <c r="G12" s="83">
        <v>7.9027</v>
      </c>
      <c r="H12" s="83">
        <v>7.5401</v>
      </c>
      <c r="I12" s="70">
        <v>7.3922</v>
      </c>
      <c r="J12" s="70">
        <v>7.3246</v>
      </c>
      <c r="K12" s="70">
        <v>6.9637</v>
      </c>
      <c r="L12" s="70">
        <v>6.7287</v>
      </c>
      <c r="M12" s="71">
        <v>6.5159</v>
      </c>
      <c r="N12" s="70">
        <v>6.9179</v>
      </c>
      <c r="O12" s="71">
        <v>6.7686</v>
      </c>
      <c r="P12" s="70">
        <v>6.6633</v>
      </c>
      <c r="Q12" s="70">
        <v>6.5537</v>
      </c>
      <c r="R12" s="70">
        <v>6.7821</v>
      </c>
      <c r="S12" s="70">
        <v>6.4381</v>
      </c>
      <c r="T12" s="84">
        <v>6.1287</v>
      </c>
      <c r="U12" s="70">
        <v>6.4575</v>
      </c>
      <c r="V12" s="70">
        <v>6.5469</v>
      </c>
      <c r="W12" s="70">
        <v>6.3876</v>
      </c>
      <c r="X12" s="70">
        <v>6.0558</v>
      </c>
      <c r="Y12" s="70">
        <v>5.7323</v>
      </c>
      <c r="Z12" s="70">
        <v>5.9698</v>
      </c>
      <c r="AA12" s="70">
        <v>6.0161</v>
      </c>
      <c r="AB12" s="70">
        <v>6.323</v>
      </c>
      <c r="AC12" s="70">
        <v>6.1521</v>
      </c>
      <c r="AD12" s="70">
        <v>6.3314</v>
      </c>
      <c r="AE12" s="84">
        <v>6.75</v>
      </c>
      <c r="AF12" s="84">
        <v>6.7035</v>
      </c>
      <c r="AG12" s="84">
        <v>6.465</v>
      </c>
      <c r="AH12" s="84">
        <v>6.3578</v>
      </c>
      <c r="AI12" s="84">
        <v>6.5766</v>
      </c>
      <c r="AJ12" s="84">
        <v>6.521</v>
      </c>
      <c r="AK12" s="84">
        <v>6.3591</v>
      </c>
      <c r="AL12" s="84">
        <v>6.0891</v>
      </c>
      <c r="AM12" s="84">
        <v>6.1177</v>
      </c>
      <c r="AN12" s="84">
        <v>6.2544</v>
      </c>
      <c r="AO12" s="84">
        <v>6.072</v>
      </c>
      <c r="AP12" s="84">
        <v>6.3199</v>
      </c>
      <c r="AQ12" s="84">
        <v>6.9549</v>
      </c>
      <c r="AR12" s="84">
        <v>7.0843</v>
      </c>
      <c r="AS12" s="84">
        <v>6.9553</v>
      </c>
      <c r="AT12" s="84">
        <v>7.4098</v>
      </c>
      <c r="AU12" s="84">
        <v>7.6492</v>
      </c>
      <c r="AV12" s="84">
        <v>7.2586</v>
      </c>
      <c r="AW12" s="84">
        <v>7.0406</v>
      </c>
      <c r="AX12" s="84">
        <v>7.1838</v>
      </c>
      <c r="AY12" s="84">
        <v>7.1698</v>
      </c>
      <c r="AZ12" s="84">
        <v>7.3514</v>
      </c>
      <c r="BA12" s="84">
        <v>7.1216</v>
      </c>
      <c r="BB12" s="84">
        <v>7.0187</v>
      </c>
      <c r="BC12" s="84">
        <v>7.1718</v>
      </c>
      <c r="BD12" s="84">
        <v>6.973</v>
      </c>
      <c r="BE12" s="84">
        <v>7.2334</v>
      </c>
      <c r="BF12" s="84">
        <v>7.1282</v>
      </c>
      <c r="BG12" s="84">
        <v>6.7729</v>
      </c>
      <c r="BH12" s="84">
        <v>6.701</v>
      </c>
      <c r="BI12" s="84">
        <v>6.8271</v>
      </c>
      <c r="BJ12" s="84">
        <v>6.9874</v>
      </c>
      <c r="BK12" s="84">
        <v>7.6386</v>
      </c>
      <c r="BL12" s="84">
        <v>7.9799</v>
      </c>
    </row>
    <row r="13" spans="2:64" ht="19.5" customHeight="1">
      <c r="B13" s="67" t="s">
        <v>32</v>
      </c>
      <c r="C13" s="85"/>
      <c r="D13" s="85">
        <f>1/8.0439</f>
        <v>0.124317806039359</v>
      </c>
      <c r="E13" s="85">
        <f>1/7.7068</f>
        <v>0.12975554056158198</v>
      </c>
      <c r="F13" s="86">
        <f>1/7.6652</f>
        <v>0.13045974012419767</v>
      </c>
      <c r="G13" s="86">
        <f>1/7.9027</f>
        <v>0.12653903096410088</v>
      </c>
      <c r="H13" s="86">
        <f>1/7.5401</f>
        <v>0.1326242357528415</v>
      </c>
      <c r="I13" s="86">
        <f>1/7.3922</f>
        <v>0.13527772516977354</v>
      </c>
      <c r="J13" s="86">
        <f>1/7.3246</f>
        <v>0.1365262266881468</v>
      </c>
      <c r="K13" s="86">
        <f>1/6.9637</f>
        <v>0.14360182087108864</v>
      </c>
      <c r="L13" s="86">
        <f>1/6.7287</f>
        <v>0.14861711771961894</v>
      </c>
      <c r="M13" s="86">
        <f>1/6.5159</f>
        <v>0.15347074080326586</v>
      </c>
      <c r="N13" s="86">
        <f>1/6.9179</f>
        <v>0.14455253761979792</v>
      </c>
      <c r="O13" s="87">
        <f>1/6.7686</f>
        <v>0.14774103950595396</v>
      </c>
      <c r="P13" s="86">
        <f>1/6.6633</f>
        <v>0.1500757882730779</v>
      </c>
      <c r="Q13" s="86">
        <f>1/6.5537</f>
        <v>0.15258556235409004</v>
      </c>
      <c r="R13" s="86">
        <f>1/6.7821</f>
        <v>0.14744695595759427</v>
      </c>
      <c r="S13" s="86">
        <f>1/6.4381</f>
        <v>0.15532532890138395</v>
      </c>
      <c r="T13" s="86">
        <f>1/6.1287</f>
        <v>0.1631667400916997</v>
      </c>
      <c r="U13" s="86">
        <f>1/6.4575</f>
        <v>0.1548586914440573</v>
      </c>
      <c r="V13" s="86">
        <f>1/6.5469</f>
        <v>0.15274404680077594</v>
      </c>
      <c r="W13" s="86">
        <f>1/6.3876</f>
        <v>0.15655332206149414</v>
      </c>
      <c r="X13" s="86">
        <f>1/6.0558</f>
        <v>0.16513094884243207</v>
      </c>
      <c r="Y13" s="86">
        <f>1/5.7323</f>
        <v>0.17445004622926225</v>
      </c>
      <c r="Z13" s="86">
        <f>1/5.9698</f>
        <v>0.1675097993232604</v>
      </c>
      <c r="AA13" s="86">
        <f>1/6.0161</f>
        <v>0.16622064127923405</v>
      </c>
      <c r="AB13" s="86">
        <f>1/6.0101</f>
        <v>0.16638658258598024</v>
      </c>
      <c r="AC13" s="86">
        <f>1/6.1521</f>
        <v>0.16254612246224867</v>
      </c>
      <c r="AD13" s="86">
        <f>1/6.3314</f>
        <v>0.1579429510060966</v>
      </c>
      <c r="AE13" s="86">
        <f>1/6.75</f>
        <v>0.14814814814814814</v>
      </c>
      <c r="AF13" s="86">
        <f>1/6.7035</f>
        <v>0.14917580368464234</v>
      </c>
      <c r="AG13" s="86">
        <f>1/6.465</f>
        <v>0.15467904098994587</v>
      </c>
      <c r="AH13" s="86">
        <f>1/6.3578</f>
        <v>0.1572871118940514</v>
      </c>
      <c r="AI13" s="86">
        <f>1/6.5766</f>
        <v>0.15205425295745523</v>
      </c>
      <c r="AJ13" s="86">
        <f>1/6.521</f>
        <v>0.15335071308081583</v>
      </c>
      <c r="AK13" s="86">
        <f>1/6.3591</f>
        <v>0.157254957462534</v>
      </c>
      <c r="AL13" s="86">
        <f>1/6.0891</f>
        <v>0.1642278826099095</v>
      </c>
      <c r="AM13" s="86">
        <f>1/6.1177</f>
        <v>0.16346012390277392</v>
      </c>
      <c r="AN13" s="86">
        <f>1/6.2544</f>
        <v>0.15988743924277307</v>
      </c>
      <c r="AO13" s="86">
        <f>1/6.072</f>
        <v>0.16469038208168643</v>
      </c>
      <c r="AP13" s="86">
        <f>1/6.3199</f>
        <v>0.15823035174607195</v>
      </c>
      <c r="AQ13" s="86">
        <f>1/6.9549</f>
        <v>0.14378351953299112</v>
      </c>
      <c r="AR13" s="86">
        <f>1/7.0843</f>
        <v>0.14115720678119223</v>
      </c>
      <c r="AS13" s="86">
        <f>1/6.9553</f>
        <v>0.14377525052837403</v>
      </c>
      <c r="AT13" s="86">
        <f>1/7.4098</f>
        <v>0.1349564090798672</v>
      </c>
      <c r="AU13" s="86">
        <f>1/7.6492</f>
        <v>0.13073262563405322</v>
      </c>
      <c r="AV13" s="86">
        <f>1/7.2586</f>
        <v>0.1377676135893974</v>
      </c>
      <c r="AW13" s="86">
        <f>1/7.0406</f>
        <v>0.14203334943044627</v>
      </c>
      <c r="AX13" s="86">
        <f>1/7.1838</f>
        <v>0.13920209359948774</v>
      </c>
      <c r="AY13" s="86">
        <f>1/7.1698</f>
        <v>0.13947390443248067</v>
      </c>
      <c r="AZ13" s="86">
        <f>1/7.3514</f>
        <v>0.13602851157602633</v>
      </c>
      <c r="BA13" s="86">
        <f>1/7.1216</f>
        <v>0.14041788362165805</v>
      </c>
      <c r="BB13" s="86">
        <f>1/7.0187</f>
        <v>0.14247652699217803</v>
      </c>
      <c r="BC13" s="86">
        <f>1/7.1718</f>
        <v>0.13943500934214562</v>
      </c>
      <c r="BD13" s="86">
        <f>1/6.973</f>
        <v>0.1434102968593145</v>
      </c>
      <c r="BE13" s="86">
        <f>1/7.2334</f>
        <v>0.1382475737550806</v>
      </c>
      <c r="BF13" s="86">
        <f>1/7.1282</f>
        <v>0.14028787071069837</v>
      </c>
      <c r="BG13" s="86">
        <f>1/6.7729</f>
        <v>0.14764724121129796</v>
      </c>
      <c r="BH13" s="86">
        <f>1/6.701</f>
        <v>0.14923145799134457</v>
      </c>
      <c r="BI13" s="86">
        <f>1/6.8271</f>
        <v>0.14647507726560327</v>
      </c>
      <c r="BJ13" s="86">
        <f>1/6.9871</f>
        <v>0.1431208942193471</v>
      </c>
      <c r="BK13" s="86">
        <f>1/7.6386</f>
        <v>0.13091404184012775</v>
      </c>
      <c r="BL13" s="86">
        <f>1/7.9799</f>
        <v>0.1253148535695936</v>
      </c>
    </row>
    <row r="14" spans="2:64" ht="19.5" customHeight="1" hidden="1">
      <c r="B14" s="67" t="s">
        <v>33</v>
      </c>
      <c r="C14" s="68"/>
      <c r="D14" s="68"/>
      <c r="E14" s="68"/>
      <c r="F14" s="83"/>
      <c r="G14" s="83"/>
      <c r="H14" s="83"/>
      <c r="I14" s="70"/>
      <c r="J14" s="70"/>
      <c r="K14" s="70"/>
      <c r="L14" s="70"/>
      <c r="M14" s="71"/>
      <c r="N14" s="70"/>
      <c r="O14" s="72"/>
      <c r="P14" s="73"/>
      <c r="Q14" s="70"/>
      <c r="R14" s="73"/>
      <c r="S14" s="73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2:64" ht="19.5" customHeight="1">
      <c r="B15" s="67" t="s">
        <v>34</v>
      </c>
      <c r="C15" s="85"/>
      <c r="D15" s="85">
        <f>1/12.7437</f>
        <v>0.07847014603294176</v>
      </c>
      <c r="E15" s="85">
        <f>1/12.124</f>
        <v>0.08248102936324644</v>
      </c>
      <c r="F15" s="86">
        <f>1/12.4393</f>
        <v>0.08039037566422548</v>
      </c>
      <c r="G15" s="86">
        <f>1/13.1219</f>
        <v>0.07620847590669035</v>
      </c>
      <c r="H15" s="86">
        <f>1/12.26</f>
        <v>0.08156606851549755</v>
      </c>
      <c r="I15" s="86">
        <f>1/11.7868</f>
        <v>0.08484066922319884</v>
      </c>
      <c r="J15" s="86">
        <f>1/11.702</f>
        <v>0.08545547769612032</v>
      </c>
      <c r="K15" s="86">
        <f>1/11.6744</f>
        <v>0.08565750702391557</v>
      </c>
      <c r="L15" s="86">
        <f>1/11.3692</f>
        <v>0.08795693628399535</v>
      </c>
      <c r="M15" s="86">
        <f>1/11.3073</f>
        <v>0.08843844242215207</v>
      </c>
      <c r="N15" s="86">
        <f>1/12.5935</f>
        <v>0.07940604279985707</v>
      </c>
      <c r="O15" s="87">
        <f>1/12.6411</f>
        <v>0.07910703973546607</v>
      </c>
      <c r="P15" s="86">
        <f>1/12.1204</f>
        <v>0.08250552787036732</v>
      </c>
      <c r="Q15" s="86">
        <f>1/11.8224</f>
        <v>0.08458519420760591</v>
      </c>
      <c r="R15" s="86">
        <f>1/12.1262</f>
        <v>0.08246606521416437</v>
      </c>
      <c r="S15" s="86">
        <f>1/11.7619</f>
        <v>0.08502027733614466</v>
      </c>
      <c r="T15" s="86">
        <f>1/11.2923</f>
        <v>0.08855591863482197</v>
      </c>
      <c r="U15" s="86">
        <f>1/11.7446</f>
        <v>0.08514551368288405</v>
      </c>
      <c r="V15" s="86">
        <f>1/11.736</f>
        <v>0.08520790729379686</v>
      </c>
      <c r="W15" s="86">
        <f>1/11.5461</f>
        <v>0.08660933128935312</v>
      </c>
      <c r="X15" s="86">
        <f>1/11.2483</f>
        <v>0.08890232301770044</v>
      </c>
      <c r="Y15" s="86">
        <f>1/11.601</f>
        <v>0.0861994655633135</v>
      </c>
      <c r="Z15" s="86">
        <f>1/11.2168</f>
        <v>0.08915198630625491</v>
      </c>
      <c r="AA15" s="86">
        <f>1/11.3535</f>
        <v>0.08807856608094419</v>
      </c>
      <c r="AB15" s="86">
        <f>1/11.8847</f>
        <v>0.08414179575420498</v>
      </c>
      <c r="AC15" s="86">
        <f>1/11.6567</f>
        <v>0.08578757281220242</v>
      </c>
      <c r="AD15" s="86">
        <f>1/11.7446</f>
        <v>0.08514551368288405</v>
      </c>
      <c r="AE15" s="86">
        <f>1/12.282</f>
        <v>0.08141996417521576</v>
      </c>
      <c r="AF15" s="86">
        <f>1/11.7407</f>
        <v>0.08517379713304998</v>
      </c>
      <c r="AG15" s="86">
        <f>1/11.5992</f>
        <v>0.0862128422649838</v>
      </c>
      <c r="AH15" s="86">
        <f>1/11.4978</f>
        <v>0.08697316008279846</v>
      </c>
      <c r="AI15" s="86">
        <f>1/11.5989</f>
        <v>0.08621507211890782</v>
      </c>
      <c r="AJ15" s="86">
        <f>1/11.2213</f>
        <v>0.08911623430440324</v>
      </c>
      <c r="AK15" s="86">
        <f>1/11.1059</f>
        <v>0.0900422298057789</v>
      </c>
      <c r="AL15" s="86">
        <f>1/10.7529</f>
        <v>0.09299816793609166</v>
      </c>
      <c r="AM15" s="86">
        <f>1/10.6948</f>
        <v>0.09350338482253057</v>
      </c>
      <c r="AN15" s="86">
        <f>1/10.907</f>
        <v>0.09168423947923351</v>
      </c>
      <c r="AO15" s="86">
        <f>1/10.7206</f>
        <v>0.09327836128574894</v>
      </c>
      <c r="AP15" s="86">
        <f>1/11.806</f>
        <v>0.08470269354565475</v>
      </c>
      <c r="AQ15" s="86">
        <f>1/12.8291</f>
        <v>0.07794779056987629</v>
      </c>
      <c r="AR15" s="86">
        <f>1/13.0643</f>
        <v>0.07654447616787735</v>
      </c>
      <c r="AS15" s="86">
        <f>1/13.1608</f>
        <v>0.07598322290438271</v>
      </c>
      <c r="AT15" s="86">
        <f>1/13.9706</f>
        <v>0.07157888709146351</v>
      </c>
      <c r="AU15" s="86">
        <f>1/14.3415</f>
        <v>0.069727713279643</v>
      </c>
      <c r="AV15" s="86">
        <f>1/13.8728</f>
        <v>0.07208350152817024</v>
      </c>
      <c r="AW15" s="86">
        <f>1/13.8362</f>
        <v>0.07227417932669375</v>
      </c>
      <c r="AX15" s="86">
        <f>1/14.0828</f>
        <v>0.07100860624307666</v>
      </c>
      <c r="AY15" s="86">
        <f>1/14.0398</f>
        <v>0.07122608584167865</v>
      </c>
      <c r="AZ15" s="86">
        <f>1/14.3044</f>
        <v>0.06990855960403793</v>
      </c>
      <c r="BA15" s="86">
        <f>1/14.1669</f>
        <v>0.07058707268350874</v>
      </c>
      <c r="BB15" s="86">
        <f>1/13.9229</f>
        <v>0.07182411710204052</v>
      </c>
      <c r="BC15" s="86">
        <f>1/14.2416</f>
        <v>0.07021682956971127</v>
      </c>
      <c r="BD15" s="86">
        <f>1/14.1833</f>
        <v>0.07050545359683572</v>
      </c>
      <c r="BE15" s="86">
        <f>1/14.525</f>
        <v>0.06884681583476764</v>
      </c>
      <c r="BF15" s="86">
        <f>1/14.3767</f>
        <v>0.06955699152100274</v>
      </c>
      <c r="BG15" s="86">
        <f>1/13.8408</f>
        <v>0.0722501589503497</v>
      </c>
      <c r="BH15" s="86">
        <f>1/13.8896</f>
        <v>0.07199631378873401</v>
      </c>
      <c r="BI15" s="86">
        <f>1/13.8016</f>
        <v>0.07245536749362393</v>
      </c>
      <c r="BJ15" s="86">
        <f>1/13.7527</f>
        <v>0.0727129945392541</v>
      </c>
      <c r="BK15" s="86">
        <f>1/15.0048</f>
        <v>0.06664534015781617</v>
      </c>
      <c r="BL15" s="86">
        <f>1/15.9805</f>
        <v>0.06257626482275273</v>
      </c>
    </row>
    <row r="16" spans="2:64" ht="19.5" customHeight="1">
      <c r="B16" s="67" t="s">
        <v>35</v>
      </c>
      <c r="C16" s="85"/>
      <c r="D16" s="85">
        <f>1/0.0679</f>
        <v>14.727540500736376</v>
      </c>
      <c r="E16" s="85">
        <f>1/0.0642</f>
        <v>15.576323987538942</v>
      </c>
      <c r="F16" s="86">
        <f>1/0.0654</f>
        <v>15.290519877675841</v>
      </c>
      <c r="G16" s="86">
        <f>1/0.0668</f>
        <v>14.970059880239521</v>
      </c>
      <c r="H16" s="86">
        <f>1/0.0636</f>
        <v>15.723270440251572</v>
      </c>
      <c r="I16" s="86">
        <f>1/0.0622</f>
        <v>16.077170418006432</v>
      </c>
      <c r="J16" s="86">
        <f>1/0.0636</f>
        <v>15.723270440251572</v>
      </c>
      <c r="K16" s="86">
        <f>1/0.0636</f>
        <v>15.723270440251572</v>
      </c>
      <c r="L16" s="86">
        <f>1/0.0616</f>
        <v>16.233766233766232</v>
      </c>
      <c r="M16" s="86">
        <f>1/0.0604</f>
        <v>16.556291390728475</v>
      </c>
      <c r="N16" s="86">
        <f>1/0.065</f>
        <v>15.384615384615383</v>
      </c>
      <c r="O16" s="87">
        <f>1/0.0695</f>
        <v>14.388489208633093</v>
      </c>
      <c r="P16" s="86">
        <f>1/0.0611</f>
        <v>16.366612111292962</v>
      </c>
      <c r="Q16" s="86">
        <f>1/0.061</f>
        <v>16.39344262295082</v>
      </c>
      <c r="R16" s="86">
        <f>1/0.0606</f>
        <v>16.5016501650165</v>
      </c>
      <c r="S16" s="86">
        <f>1/0.0588</f>
        <v>17.006802721088437</v>
      </c>
      <c r="T16" s="86">
        <f>1/0.0561</f>
        <v>17.825311942959004</v>
      </c>
      <c r="U16" s="86">
        <f>1/0.0505</f>
        <v>19.801980198019802</v>
      </c>
      <c r="V16" s="86">
        <f>1/0.0595</f>
        <v>16.80672268907563</v>
      </c>
      <c r="W16" s="86">
        <f>1/0.0587</f>
        <v>17.035775127768314</v>
      </c>
      <c r="X16" s="86">
        <f>1/0.0578</f>
        <v>17.301038062283737</v>
      </c>
      <c r="Y16" s="86">
        <f>1/0.052</f>
        <v>19.23076923076923</v>
      </c>
      <c r="Z16" s="86">
        <f>1/0.0578</f>
        <v>17.301038062283737</v>
      </c>
      <c r="AA16" s="86">
        <f>1/0.0574</f>
        <v>17.421602787456447</v>
      </c>
      <c r="AB16" s="86">
        <f>1/0.0572</f>
        <v>17.482517482517483</v>
      </c>
      <c r="AC16" s="86">
        <f>1/0.0572</f>
        <v>17.482517482517483</v>
      </c>
      <c r="AD16" s="86">
        <f>1/0.0594</f>
        <v>16.835016835016834</v>
      </c>
      <c r="AE16" s="86">
        <f>1/0.0621</f>
        <v>16.10305958132045</v>
      </c>
      <c r="AF16" s="86">
        <f>1/0.0599</f>
        <v>16.69449081803005</v>
      </c>
      <c r="AG16" s="86">
        <f>1/0.0585</f>
        <v>17.094017094017094</v>
      </c>
      <c r="AH16" s="86">
        <f>1/0.0573</f>
        <v>17.452006980802793</v>
      </c>
      <c r="AI16" s="86">
        <f>1/0.0573</f>
        <v>17.452006980802793</v>
      </c>
      <c r="AJ16" s="86">
        <f>1/0.0545</f>
        <v>18.34862385321101</v>
      </c>
      <c r="AK16" s="86">
        <f>1/0.0536</f>
        <v>18.65671641791045</v>
      </c>
      <c r="AL16" s="86">
        <f>1/0.0528</f>
        <v>18.93939393939394</v>
      </c>
      <c r="AM16" s="86">
        <f>1/0.0519</f>
        <v>19.267822736030826</v>
      </c>
      <c r="AN16" s="86">
        <f>1/0.0533</f>
        <v>18.76172607879925</v>
      </c>
      <c r="AO16" s="86">
        <f>1/0.0518</f>
        <v>19.305019305019304</v>
      </c>
      <c r="AP16" s="86">
        <f>1/0.0566</f>
        <v>17.6678445229682</v>
      </c>
      <c r="AQ16" s="86">
        <f>1/0.0607</f>
        <v>16.474464579901156</v>
      </c>
      <c r="AR16" s="86">
        <f>1/0.0613</f>
        <v>16.31321370309951</v>
      </c>
      <c r="AS16" s="86">
        <f>1/0.06</f>
        <v>16.666666666666668</v>
      </c>
      <c r="AT16" s="86">
        <f>1/0.0633</f>
        <v>15.797788309636653</v>
      </c>
      <c r="AU16" s="86">
        <f>1/0.0645</f>
        <v>15.503875968992247</v>
      </c>
      <c r="AV16" s="86">
        <f>1/0.0619</f>
        <v>16.155088852988694</v>
      </c>
      <c r="AW16" s="86">
        <f>1/0.0601</f>
        <v>16.638935108153078</v>
      </c>
      <c r="AX16" s="86">
        <f>1/0.0597</f>
        <v>16.75041876046901</v>
      </c>
      <c r="AY16" s="86">
        <f>1/0.0595</f>
        <v>16.80672268907563</v>
      </c>
      <c r="AZ16" s="86">
        <f>1/0.0627</f>
        <v>15.948963317384369</v>
      </c>
      <c r="BA16" s="86">
        <f>1/0.06</f>
        <v>16.666666666666668</v>
      </c>
      <c r="BB16" s="86">
        <f>1/0.0581</f>
        <v>17.21170395869191</v>
      </c>
      <c r="BC16" s="86">
        <f>1/0.0585</f>
        <v>17.094017094017094</v>
      </c>
      <c r="BD16" s="86">
        <f>1/0.0574</f>
        <v>17.421602787456447</v>
      </c>
      <c r="BE16" s="86">
        <f>1/0.062</f>
        <v>16.129032258064516</v>
      </c>
      <c r="BF16" s="86">
        <f>1/0.062</f>
        <v>16.129032258064516</v>
      </c>
      <c r="BG16" s="86">
        <f>1/0.0585</f>
        <v>17.094017094017094</v>
      </c>
      <c r="BH16" s="86">
        <f>1/0.0603</f>
        <v>16.58374792703151</v>
      </c>
      <c r="BI16" s="86">
        <f>1/0.0609</f>
        <v>16.420361247947454</v>
      </c>
      <c r="BJ16" s="86">
        <f>1/0.0647</f>
        <v>15.45595054095827</v>
      </c>
      <c r="BK16" s="86">
        <f>1/0.0713</f>
        <v>14.025245441795231</v>
      </c>
      <c r="BL16" s="86">
        <f>1/0.0791</f>
        <v>12.642225031605562</v>
      </c>
    </row>
    <row r="17" spans="2:64" ht="19.5" customHeight="1" hidden="1">
      <c r="B17" s="67" t="s">
        <v>36</v>
      </c>
      <c r="C17" s="88"/>
      <c r="D17" s="88"/>
      <c r="E17" s="88"/>
      <c r="F17" s="70"/>
      <c r="G17" s="70"/>
      <c r="H17" s="70"/>
      <c r="I17" s="70"/>
      <c r="J17" s="70"/>
      <c r="K17" s="70"/>
      <c r="L17" s="70"/>
      <c r="M17" s="70"/>
      <c r="N17" s="70"/>
      <c r="O17" s="72"/>
      <c r="P17" s="73"/>
      <c r="Q17" s="70"/>
      <c r="R17" s="73"/>
      <c r="S17" s="73"/>
      <c r="T17" s="73"/>
      <c r="U17" s="73"/>
      <c r="V17" s="73"/>
      <c r="W17" s="73"/>
      <c r="X17" s="73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2:64" ht="19.5" customHeight="1">
      <c r="B18" s="61"/>
      <c r="C18" s="89"/>
      <c r="D18" s="89"/>
      <c r="E18" s="90"/>
      <c r="F18" s="62"/>
      <c r="G18" s="62"/>
      <c r="H18" s="62"/>
      <c r="I18" s="91"/>
      <c r="J18" s="91"/>
      <c r="K18" s="62"/>
      <c r="L18" s="62"/>
      <c r="M18" s="65"/>
      <c r="N18" s="91"/>
      <c r="O18" s="65"/>
      <c r="P18" s="63"/>
      <c r="Q18" s="62"/>
      <c r="R18" s="63"/>
      <c r="S18" s="63"/>
      <c r="T18" s="66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2:64" ht="19.5" customHeight="1">
      <c r="B19" s="138" t="s">
        <v>38</v>
      </c>
      <c r="C19" s="89"/>
      <c r="D19" s="89"/>
      <c r="E19" s="61"/>
      <c r="F19" s="62"/>
      <c r="G19" s="62"/>
      <c r="H19" s="62"/>
      <c r="I19" s="63"/>
      <c r="J19" s="63"/>
      <c r="K19" s="62"/>
      <c r="L19" s="62"/>
      <c r="M19" s="64"/>
      <c r="N19" s="63"/>
      <c r="O19" s="65"/>
      <c r="P19" s="63"/>
      <c r="Q19" s="62"/>
      <c r="R19" s="63"/>
      <c r="S19" s="63"/>
      <c r="T19" s="66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2:64" ht="19.5" customHeight="1" thickBot="1">
      <c r="B20" s="139" t="s">
        <v>37</v>
      </c>
      <c r="C20" s="92"/>
      <c r="D20" s="92"/>
      <c r="E20" s="93"/>
      <c r="F20" s="94"/>
      <c r="G20" s="94"/>
      <c r="H20" s="94"/>
      <c r="I20" s="95"/>
      <c r="J20" s="95"/>
      <c r="K20" s="94"/>
      <c r="L20" s="94"/>
      <c r="M20" s="96"/>
      <c r="N20" s="95"/>
      <c r="O20" s="97"/>
      <c r="P20" s="95"/>
      <c r="Q20" s="94"/>
      <c r="R20" s="95"/>
      <c r="S20" s="95"/>
      <c r="T20" s="98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ht="19.5" customHeight="1">
      <c r="B21" s="102" t="s">
        <v>121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50" zoomScaleNormal="50" zoomScaleSheetLayoutView="50" zoomScalePageLayoutView="0" workbookViewId="0" topLeftCell="A37">
      <selection activeCell="A4" sqref="A4:X72"/>
    </sheetView>
  </sheetViews>
  <sheetFormatPr defaultColWidth="9.140625" defaultRowHeight="12"/>
  <cols>
    <col min="11" max="11" width="8.7109375" style="0" customWidth="1"/>
  </cols>
  <sheetData>
    <row r="2" spans="1:15" ht="12.7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16"/>
      <c r="L2" s="16"/>
      <c r="M2" s="16"/>
      <c r="N2" s="16"/>
      <c r="O2" s="16"/>
    </row>
    <row r="3" spans="1:15" ht="13.5" customHeight="1">
      <c r="A3" s="17"/>
      <c r="B3" s="13"/>
      <c r="C3" s="18"/>
      <c r="D3" s="18"/>
      <c r="E3" s="18"/>
      <c r="F3" s="18"/>
      <c r="G3" s="18"/>
      <c r="H3" s="18"/>
      <c r="I3" s="17"/>
      <c r="J3" s="17"/>
      <c r="K3" s="16"/>
      <c r="L3" s="16"/>
      <c r="M3" s="16"/>
      <c r="N3" s="16"/>
      <c r="O3" s="16"/>
    </row>
    <row r="4" spans="1:15" ht="21">
      <c r="A4" s="289" t="s">
        <v>130</v>
      </c>
      <c r="B4" s="289"/>
      <c r="C4" s="289"/>
      <c r="D4" s="289"/>
      <c r="E4" s="289"/>
      <c r="F4" s="289"/>
      <c r="G4" s="289"/>
      <c r="H4" s="289"/>
      <c r="I4" s="289"/>
      <c r="J4" s="289"/>
      <c r="K4" s="19"/>
      <c r="L4" s="16"/>
      <c r="M4" s="16"/>
      <c r="N4" s="16"/>
      <c r="O4" s="16"/>
    </row>
    <row r="5" spans="1:15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19"/>
      <c r="L5" s="16"/>
      <c r="M5" s="16"/>
      <c r="N5" s="16"/>
      <c r="O5" s="16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1">
      <c r="A38" s="289" t="s">
        <v>168</v>
      </c>
      <c r="B38" s="289"/>
      <c r="C38" s="289"/>
      <c r="D38" s="289"/>
      <c r="E38" s="289"/>
      <c r="F38" s="289"/>
      <c r="G38" s="289"/>
      <c r="H38" s="289"/>
      <c r="I38" s="289"/>
      <c r="J38" s="289"/>
      <c r="K38" s="19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21" ht="20.25">
      <c r="A55" s="16"/>
      <c r="B55" s="16"/>
      <c r="C55" s="223"/>
      <c r="H55" s="16"/>
      <c r="I55" s="16"/>
      <c r="J55" s="16"/>
      <c r="K55" s="16"/>
      <c r="L55" s="16"/>
      <c r="M55" s="16"/>
      <c r="N55" s="16"/>
      <c r="O55" s="16"/>
      <c r="U55" t="s">
        <v>148</v>
      </c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20.25">
      <c r="A61" s="16"/>
      <c r="B61" s="16"/>
      <c r="C61" s="16"/>
      <c r="D61" s="223"/>
      <c r="E61" s="223"/>
      <c r="F61" s="223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2"/>
  <sheetViews>
    <sheetView zoomScalePageLayoutView="0" workbookViewId="0" topLeftCell="B91">
      <selection activeCell="B77" sqref="B77:K100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0.5" thickBot="1">
      <c r="B1" t="s">
        <v>148</v>
      </c>
    </row>
    <row r="2" spans="1:11" ht="9.75">
      <c r="A2" s="158"/>
      <c r="B2" s="274" t="s">
        <v>82</v>
      </c>
      <c r="C2" s="275"/>
      <c r="D2" s="275"/>
      <c r="E2" s="275"/>
      <c r="F2" s="275"/>
      <c r="G2" s="275"/>
      <c r="H2" s="275"/>
      <c r="I2" s="275"/>
      <c r="J2" s="275"/>
      <c r="K2" s="276"/>
    </row>
    <row r="3" spans="1:11" ht="9.75">
      <c r="A3" s="158"/>
      <c r="B3" s="277" t="s">
        <v>139</v>
      </c>
      <c r="C3" s="278"/>
      <c r="D3" s="278"/>
      <c r="E3" s="278"/>
      <c r="F3" s="278"/>
      <c r="G3" s="278"/>
      <c r="H3" s="278"/>
      <c r="I3" s="278"/>
      <c r="J3" s="278"/>
      <c r="K3" s="279"/>
    </row>
    <row r="4" spans="1:11" ht="9.75">
      <c r="A4" s="158"/>
      <c r="B4" s="160"/>
      <c r="C4" s="114"/>
      <c r="D4" s="44"/>
      <c r="E4" s="114"/>
      <c r="F4" s="270" t="s">
        <v>132</v>
      </c>
      <c r="G4" s="297"/>
      <c r="H4" s="182" t="s">
        <v>165</v>
      </c>
      <c r="I4" s="270" t="s">
        <v>166</v>
      </c>
      <c r="J4" s="271"/>
      <c r="K4" s="272"/>
    </row>
    <row r="5" spans="1:11" ht="9.75">
      <c r="A5" s="158"/>
      <c r="B5" s="161"/>
      <c r="C5" s="12">
        <v>39169</v>
      </c>
      <c r="D5" s="113">
        <v>39506</v>
      </c>
      <c r="E5" s="12">
        <v>39517</v>
      </c>
      <c r="F5" s="12" t="s">
        <v>135</v>
      </c>
      <c r="G5" s="103" t="s">
        <v>134</v>
      </c>
      <c r="H5" s="103" t="s">
        <v>167</v>
      </c>
      <c r="I5" s="12">
        <v>39448</v>
      </c>
      <c r="J5" s="12">
        <v>39479</v>
      </c>
      <c r="K5" s="231">
        <v>39508</v>
      </c>
    </row>
    <row r="6" spans="1:12" ht="9.75">
      <c r="A6" s="158"/>
      <c r="B6" s="162" t="s">
        <v>56</v>
      </c>
      <c r="C6" s="199">
        <v>8049.968718929998</v>
      </c>
      <c r="D6" s="199">
        <v>9603.768399260001</v>
      </c>
      <c r="E6" s="199">
        <v>9867.73535117</v>
      </c>
      <c r="F6" s="199">
        <v>263.9669519099989</v>
      </c>
      <c r="G6" s="199">
        <v>1817.7666322400019</v>
      </c>
      <c r="H6" s="200">
        <v>2.7485768183491217</v>
      </c>
      <c r="I6" s="200">
        <v>32.25985980678026</v>
      </c>
      <c r="J6" s="200">
        <v>40.43949288764612</v>
      </c>
      <c r="K6" s="244">
        <v>22.581039699761956</v>
      </c>
      <c r="L6" s="56"/>
    </row>
    <row r="7" spans="1:12" ht="9.75">
      <c r="A7" s="158"/>
      <c r="B7" s="162" t="s">
        <v>145</v>
      </c>
      <c r="C7" s="199">
        <v>6094.718608359999</v>
      </c>
      <c r="D7" s="199">
        <v>8704.018823090002</v>
      </c>
      <c r="E7" s="199">
        <v>8946.10048503</v>
      </c>
      <c r="F7" s="199">
        <v>242.0816619399975</v>
      </c>
      <c r="G7" s="199">
        <v>2851.3818766700006</v>
      </c>
      <c r="H7" s="200">
        <v>2.7812630792778594</v>
      </c>
      <c r="I7" s="200">
        <v>62.24939186691648</v>
      </c>
      <c r="J7" s="200">
        <v>78.52264152737531</v>
      </c>
      <c r="K7" s="244">
        <v>46.78447127581604</v>
      </c>
      <c r="L7" s="56"/>
    </row>
    <row r="8" spans="1:12" ht="9.75">
      <c r="A8" s="158"/>
      <c r="B8" s="163" t="s">
        <v>57</v>
      </c>
      <c r="C8" s="201">
        <v>5985.5878600999995</v>
      </c>
      <c r="D8" s="201">
        <v>8609.09055412</v>
      </c>
      <c r="E8" s="201">
        <v>8787.87853457</v>
      </c>
      <c r="F8" s="201">
        <v>178.78798044999894</v>
      </c>
      <c r="G8" s="201">
        <v>2802.2906744700003</v>
      </c>
      <c r="H8" s="202">
        <v>2.076734811024115</v>
      </c>
      <c r="I8" s="202">
        <v>61.71414376947869</v>
      </c>
      <c r="J8" s="202">
        <v>86.10418452096938</v>
      </c>
      <c r="K8" s="245">
        <v>46.81730082269953</v>
      </c>
      <c r="L8" s="56"/>
    </row>
    <row r="9" spans="1:12" ht="9.75">
      <c r="A9" s="158"/>
      <c r="B9" s="163" t="s">
        <v>58</v>
      </c>
      <c r="C9" s="201">
        <v>2E-08</v>
      </c>
      <c r="D9" s="201">
        <v>3E-08</v>
      </c>
      <c r="E9" s="201">
        <v>-1E-08</v>
      </c>
      <c r="F9" s="201">
        <v>-4E-08</v>
      </c>
      <c r="G9" s="201">
        <v>-3.0000000000000004E-08</v>
      </c>
      <c r="H9" s="202">
        <v>0</v>
      </c>
      <c r="I9" s="202">
        <v>0</v>
      </c>
      <c r="J9" s="202">
        <v>0</v>
      </c>
      <c r="K9" s="245">
        <v>0</v>
      </c>
      <c r="L9" s="56"/>
    </row>
    <row r="10" spans="1:12" ht="9.75">
      <c r="A10" s="158"/>
      <c r="B10" s="163" t="s">
        <v>59</v>
      </c>
      <c r="C10" s="201">
        <v>109.13074823999999</v>
      </c>
      <c r="D10" s="201">
        <v>94.92826894000001</v>
      </c>
      <c r="E10" s="201">
        <v>158.22195047</v>
      </c>
      <c r="F10" s="201">
        <v>63.293681529999986</v>
      </c>
      <c r="G10" s="201">
        <v>49.09120223000001</v>
      </c>
      <c r="H10" s="202">
        <v>66.67527200986373</v>
      </c>
      <c r="I10" s="202">
        <v>79.11500268403911</v>
      </c>
      <c r="J10" s="202">
        <v>-61.972475691388865</v>
      </c>
      <c r="K10" s="245">
        <v>44.98384096298762</v>
      </c>
      <c r="L10" s="56"/>
    </row>
    <row r="11" spans="1:12" ht="9.75">
      <c r="A11" s="158"/>
      <c r="B11" s="162" t="s">
        <v>60</v>
      </c>
      <c r="C11" s="199">
        <v>1955.2501105699998</v>
      </c>
      <c r="D11" s="199">
        <v>899.7495761699998</v>
      </c>
      <c r="E11" s="199">
        <v>921.6348661400001</v>
      </c>
      <c r="F11" s="199">
        <v>21.885289970000258</v>
      </c>
      <c r="G11" s="199">
        <v>-1033.6152444299996</v>
      </c>
      <c r="H11" s="200">
        <v>2.4323756909294976</v>
      </c>
      <c r="I11" s="200">
        <v>-53.437059904547844</v>
      </c>
      <c r="J11" s="200">
        <v>-54.15953892241643</v>
      </c>
      <c r="K11" s="244">
        <v>-52.86358194495523</v>
      </c>
      <c r="L11" s="56"/>
    </row>
    <row r="12" spans="1:12" ht="9.75">
      <c r="A12" s="158"/>
      <c r="B12" s="163" t="s">
        <v>116</v>
      </c>
      <c r="C12" s="201">
        <v>1938.7633244699998</v>
      </c>
      <c r="D12" s="201">
        <v>878.1536104599999</v>
      </c>
      <c r="E12" s="201">
        <v>900.3470174800001</v>
      </c>
      <c r="F12" s="201">
        <v>22.193407020000222</v>
      </c>
      <c r="G12" s="201">
        <v>-1038.4163069899996</v>
      </c>
      <c r="H12" s="202">
        <v>2.5272807349018054</v>
      </c>
      <c r="I12" s="202">
        <v>-53.95849332444956</v>
      </c>
      <c r="J12" s="202">
        <v>-54.906612602461394</v>
      </c>
      <c r="K12" s="245">
        <v>-53.56075668874496</v>
      </c>
      <c r="L12" s="56"/>
    </row>
    <row r="13" spans="1:12" ht="9.75">
      <c r="A13" s="158"/>
      <c r="B13" s="163" t="s">
        <v>83</v>
      </c>
      <c r="C13" s="201">
        <v>0</v>
      </c>
      <c r="D13" s="201">
        <v>0</v>
      </c>
      <c r="E13" s="201">
        <v>0</v>
      </c>
      <c r="F13" s="201">
        <v>0</v>
      </c>
      <c r="G13" s="201">
        <v>0</v>
      </c>
      <c r="H13" s="202">
        <v>0</v>
      </c>
      <c r="I13" s="202">
        <v>0</v>
      </c>
      <c r="J13" s="202">
        <v>1</v>
      </c>
      <c r="K13" s="245">
        <v>2</v>
      </c>
      <c r="L13" s="56"/>
    </row>
    <row r="14" spans="1:12" ht="9.75">
      <c r="A14" s="158"/>
      <c r="B14" s="163" t="s">
        <v>61</v>
      </c>
      <c r="C14" s="201">
        <v>16.4867861</v>
      </c>
      <c r="D14" s="201">
        <v>21.595965709999998</v>
      </c>
      <c r="E14" s="201">
        <v>21.287848659999998</v>
      </c>
      <c r="F14" s="201">
        <v>-0.3081170499999999</v>
      </c>
      <c r="G14" s="201">
        <v>4.801062559999998</v>
      </c>
      <c r="H14" s="202">
        <v>-1.4267342990701568</v>
      </c>
      <c r="I14" s="202">
        <v>7.998676646958282</v>
      </c>
      <c r="J14" s="202">
        <v>40.47353622290464</v>
      </c>
      <c r="K14" s="245">
        <v>29.120669916376237</v>
      </c>
      <c r="L14" s="56"/>
    </row>
    <row r="15" spans="1:12" ht="9.75">
      <c r="A15" s="158"/>
      <c r="B15" s="164"/>
      <c r="C15" s="199"/>
      <c r="D15" s="199"/>
      <c r="E15" s="199"/>
      <c r="F15" s="199"/>
      <c r="G15" s="199"/>
      <c r="H15" s="200"/>
      <c r="I15" s="200"/>
      <c r="J15" s="200"/>
      <c r="K15" s="244"/>
      <c r="L15" s="56"/>
    </row>
    <row r="16" spans="1:12" ht="9.75">
      <c r="A16" s="158"/>
      <c r="B16" s="162" t="s">
        <v>62</v>
      </c>
      <c r="C16" s="199">
        <v>8049.954961636001</v>
      </c>
      <c r="D16" s="199">
        <v>9603.767802209999</v>
      </c>
      <c r="E16" s="199">
        <v>9866.716022400007</v>
      </c>
      <c r="F16" s="199">
        <v>262.9482201900082</v>
      </c>
      <c r="G16" s="199">
        <v>1816.7610607640063</v>
      </c>
      <c r="H16" s="200">
        <v>2.73796936374804</v>
      </c>
      <c r="I16" s="200">
        <v>32.26080362214434</v>
      </c>
      <c r="J16" s="200">
        <v>40.439346043787936</v>
      </c>
      <c r="K16" s="244">
        <v>22.56858664951815</v>
      </c>
      <c r="L16" s="56"/>
    </row>
    <row r="17" spans="1:12" ht="9.75">
      <c r="A17" s="158"/>
      <c r="B17" s="162" t="s">
        <v>63</v>
      </c>
      <c r="C17" s="199">
        <v>1452.5738078600018</v>
      </c>
      <c r="D17" s="199">
        <v>2433.0491364400004</v>
      </c>
      <c r="E17" s="199">
        <v>2449.1685112700093</v>
      </c>
      <c r="F17" s="199">
        <v>16.119374830008837</v>
      </c>
      <c r="G17" s="199">
        <v>996.5947034100075</v>
      </c>
      <c r="H17" s="200">
        <v>0.6625174390680189</v>
      </c>
      <c r="I17" s="202">
        <v>50.28560790292964</v>
      </c>
      <c r="J17" s="202">
        <v>77.06208099821524</v>
      </c>
      <c r="K17" s="244">
        <v>68.60888569085769</v>
      </c>
      <c r="L17" s="56"/>
    </row>
    <row r="18" spans="1:12" ht="9.75">
      <c r="A18" s="158"/>
      <c r="B18" s="163" t="s">
        <v>64</v>
      </c>
      <c r="C18" s="201">
        <v>1046.47525315</v>
      </c>
      <c r="D18" s="201">
        <v>1198.70324175</v>
      </c>
      <c r="E18" s="201">
        <v>1262.9973032999999</v>
      </c>
      <c r="F18" s="201">
        <v>64.29406154999992</v>
      </c>
      <c r="G18" s="201">
        <v>216.5220501499998</v>
      </c>
      <c r="H18" s="202">
        <v>5.3636345769897416</v>
      </c>
      <c r="I18" s="202">
        <v>11.859675128842676</v>
      </c>
      <c r="J18" s="202">
        <v>19.581051226455074</v>
      </c>
      <c r="K18" s="245">
        <v>20.690603958215522</v>
      </c>
      <c r="L18" s="56"/>
    </row>
    <row r="19" spans="1:12" ht="9.75">
      <c r="A19" s="158"/>
      <c r="B19" s="163" t="s">
        <v>65</v>
      </c>
      <c r="C19" s="201">
        <v>406.09855471000174</v>
      </c>
      <c r="D19" s="201">
        <v>1234.3458946900005</v>
      </c>
      <c r="E19" s="201">
        <v>1186.1712079700094</v>
      </c>
      <c r="F19" s="201">
        <v>-48.17468671999109</v>
      </c>
      <c r="G19" s="201">
        <v>780.0726532600077</v>
      </c>
      <c r="H19" s="202">
        <v>-3.902851455757457</v>
      </c>
      <c r="I19" s="202">
        <v>157.18188055097733</v>
      </c>
      <c r="J19" s="202">
        <v>232.0785230032738</v>
      </c>
      <c r="K19" s="245">
        <v>192.0894926151766</v>
      </c>
      <c r="L19" s="56"/>
    </row>
    <row r="20" spans="1:12" ht="9.75">
      <c r="A20" s="158"/>
      <c r="B20" s="162" t="s">
        <v>117</v>
      </c>
      <c r="C20" s="199">
        <v>6346.804023569999</v>
      </c>
      <c r="D20" s="199">
        <v>7275.230952659999</v>
      </c>
      <c r="E20" s="199">
        <v>7502.89523604</v>
      </c>
      <c r="F20" s="199">
        <v>227.6642833800006</v>
      </c>
      <c r="G20" s="199">
        <v>1156.0912124700008</v>
      </c>
      <c r="H20" s="200">
        <v>3.129306613926271</v>
      </c>
      <c r="I20" s="200">
        <v>35.508605007936396</v>
      </c>
      <c r="J20" s="200">
        <v>39.6800767514783</v>
      </c>
      <c r="K20" s="244">
        <v>18.215328662688307</v>
      </c>
      <c r="L20" s="56"/>
    </row>
    <row r="21" spans="1:12" ht="9.75">
      <c r="A21" s="158"/>
      <c r="B21" s="163" t="s">
        <v>84</v>
      </c>
      <c r="C21" s="201">
        <v>5155.0498934199995</v>
      </c>
      <c r="D21" s="201">
        <v>5193.069224819999</v>
      </c>
      <c r="E21" s="201">
        <v>4841.86157162</v>
      </c>
      <c r="F21" s="201">
        <v>-351.2076531999992</v>
      </c>
      <c r="G21" s="201">
        <v>-313.18832179999936</v>
      </c>
      <c r="H21" s="202">
        <v>-6.763007346819504</v>
      </c>
      <c r="I21" s="202">
        <v>28.11205401132385</v>
      </c>
      <c r="J21" s="202">
        <v>25.881743747209978</v>
      </c>
      <c r="K21" s="245">
        <v>-6.075369361599365</v>
      </c>
      <c r="L21" s="56"/>
    </row>
    <row r="22" spans="1:12" ht="9.75">
      <c r="A22" s="158"/>
      <c r="B22" s="165" t="s">
        <v>66</v>
      </c>
      <c r="C22" s="201">
        <v>1191.75413015</v>
      </c>
      <c r="D22" s="201">
        <v>2082.16172784</v>
      </c>
      <c r="E22" s="201">
        <v>2661.03366442</v>
      </c>
      <c r="F22" s="201">
        <v>578.8719365800002</v>
      </c>
      <c r="G22" s="201">
        <v>1469.27953427</v>
      </c>
      <c r="H22" s="202">
        <v>27.8014876961797</v>
      </c>
      <c r="I22" s="202">
        <v>66.86381065051857</v>
      </c>
      <c r="J22" s="202">
        <v>92.23376424518221</v>
      </c>
      <c r="K22" s="245">
        <v>123.2871359199795</v>
      </c>
      <c r="L22" s="56"/>
    </row>
    <row r="23" spans="1:12" ht="9.75">
      <c r="A23" s="158"/>
      <c r="B23" s="166" t="s">
        <v>0</v>
      </c>
      <c r="C23" s="201">
        <v>2.33328077</v>
      </c>
      <c r="D23" s="201">
        <v>10.917456249999999</v>
      </c>
      <c r="E23" s="201">
        <v>10.579752809999999</v>
      </c>
      <c r="F23" s="201">
        <v>-0.3377034400000003</v>
      </c>
      <c r="G23" s="201">
        <v>8.246472039999999</v>
      </c>
      <c r="H23" s="202">
        <v>-3.093242897126337</v>
      </c>
      <c r="I23" s="202">
        <v>-2.018840128235009</v>
      </c>
      <c r="J23" s="202">
        <v>145.78654878974956</v>
      </c>
      <c r="K23" s="245">
        <v>353.42819201308544</v>
      </c>
      <c r="L23" s="56"/>
    </row>
    <row r="24" spans="1:12" ht="9.75">
      <c r="A24" s="158"/>
      <c r="B24" s="166" t="s">
        <v>118</v>
      </c>
      <c r="C24" s="201">
        <v>404.70397604</v>
      </c>
      <c r="D24" s="201">
        <v>47.36434313999997</v>
      </c>
      <c r="E24" s="201">
        <v>45.320160590000015</v>
      </c>
      <c r="F24" s="201">
        <v>-2.0441825499999524</v>
      </c>
      <c r="G24" s="201">
        <v>-359.38381545</v>
      </c>
      <c r="H24" s="202">
        <v>-4.315868044359316</v>
      </c>
      <c r="I24" s="202">
        <v>-80.43653033881176</v>
      </c>
      <c r="J24" s="202">
        <v>-88.42554257054154</v>
      </c>
      <c r="K24" s="245">
        <v>-88.80165175705596</v>
      </c>
      <c r="L24" s="56"/>
    </row>
    <row r="25" spans="1:12" ht="10.5" thickBot="1">
      <c r="A25" s="158"/>
      <c r="B25" s="167" t="s">
        <v>105</v>
      </c>
      <c r="C25" s="246">
        <v>-156.460126604</v>
      </c>
      <c r="D25" s="246">
        <v>-162.79408628</v>
      </c>
      <c r="E25" s="246">
        <v>-141.24763830999996</v>
      </c>
      <c r="F25" s="246">
        <v>21.54644797000003</v>
      </c>
      <c r="G25" s="246">
        <v>15.212488294000053</v>
      </c>
      <c r="H25" s="247">
        <v>-13.235399677197679</v>
      </c>
      <c r="I25" s="247">
        <v>3.3924176390118443</v>
      </c>
      <c r="J25" s="247">
        <v>3.099453078400568</v>
      </c>
      <c r="K25" s="248">
        <v>-9.722917029527148</v>
      </c>
      <c r="L25" s="56"/>
    </row>
    <row r="26" spans="2:12" ht="12" customHeight="1" hidden="1">
      <c r="B26" s="101" t="s">
        <v>81</v>
      </c>
      <c r="C26" s="203">
        <v>-0.0067250900028739125</v>
      </c>
      <c r="D26" s="203">
        <v>-0.02465991999997641</v>
      </c>
      <c r="E26" s="203">
        <v>0.0005970500023977365</v>
      </c>
      <c r="F26" s="203">
        <v>0.025256970002374146</v>
      </c>
      <c r="G26" s="203">
        <v>0.007322140005271649</v>
      </c>
      <c r="H26" s="203">
        <v>0.00027194631181926</v>
      </c>
      <c r="I26" s="203">
        <v>0</v>
      </c>
      <c r="J26" s="203">
        <v>1</v>
      </c>
      <c r="K26" s="204">
        <v>0.0067250900028739125</v>
      </c>
      <c r="L26" s="56">
        <f>(E26-C26)/C26*100</f>
        <v>-108.87794813366946</v>
      </c>
    </row>
    <row r="27" spans="2:11" ht="9.75">
      <c r="B27" s="45"/>
      <c r="C27" s="46"/>
      <c r="D27" s="46"/>
      <c r="E27" s="46"/>
      <c r="F27" s="46"/>
      <c r="G27" s="46"/>
      <c r="H27" s="46"/>
      <c r="I27" s="46"/>
      <c r="J27" s="46"/>
      <c r="K27" s="47"/>
    </row>
    <row r="28" spans="2:11" ht="9.75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10.5" thickBot="1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1:12" ht="9.75">
      <c r="A30" s="158"/>
      <c r="B30" s="274" t="s">
        <v>82</v>
      </c>
      <c r="C30" s="275"/>
      <c r="D30" s="275"/>
      <c r="E30" s="275"/>
      <c r="F30" s="275"/>
      <c r="G30" s="275"/>
      <c r="H30" s="275"/>
      <c r="I30" s="275"/>
      <c r="J30" s="275"/>
      <c r="K30" s="276"/>
      <c r="L30" s="158"/>
    </row>
    <row r="31" spans="1:12" ht="9.75">
      <c r="A31" s="158"/>
      <c r="B31" s="277" t="s">
        <v>140</v>
      </c>
      <c r="C31" s="278"/>
      <c r="D31" s="278"/>
      <c r="E31" s="278"/>
      <c r="F31" s="278"/>
      <c r="G31" s="278"/>
      <c r="H31" s="278"/>
      <c r="I31" s="278"/>
      <c r="J31" s="278"/>
      <c r="K31" s="279"/>
      <c r="L31" s="158"/>
    </row>
    <row r="32" spans="1:12" ht="9.75">
      <c r="A32" s="158"/>
      <c r="B32" s="160"/>
      <c r="C32" s="114"/>
      <c r="D32" s="44"/>
      <c r="E32" s="114"/>
      <c r="F32" s="270" t="s">
        <v>132</v>
      </c>
      <c r="G32" s="297"/>
      <c r="H32" s="182" t="s">
        <v>165</v>
      </c>
      <c r="I32" s="270" t="s">
        <v>166</v>
      </c>
      <c r="J32" s="271"/>
      <c r="K32" s="272"/>
      <c r="L32" s="158"/>
    </row>
    <row r="33" spans="1:12" ht="9.75">
      <c r="A33" s="158"/>
      <c r="B33" s="161"/>
      <c r="C33" s="12">
        <f>C5</f>
        <v>39169</v>
      </c>
      <c r="D33" s="113">
        <f>D5</f>
        <v>39506</v>
      </c>
      <c r="E33" s="12">
        <f>E5</f>
        <v>39517</v>
      </c>
      <c r="F33" s="12" t="s">
        <v>135</v>
      </c>
      <c r="G33" s="103" t="s">
        <v>134</v>
      </c>
      <c r="H33" s="103" t="s">
        <v>167</v>
      </c>
      <c r="I33" s="12">
        <f>I5</f>
        <v>39448</v>
      </c>
      <c r="J33" s="12">
        <f>J5</f>
        <v>39479</v>
      </c>
      <c r="K33" s="231">
        <f>K5</f>
        <v>39508</v>
      </c>
      <c r="L33" s="158"/>
    </row>
    <row r="34" spans="1:12" ht="9.75">
      <c r="A34" s="158"/>
      <c r="B34" s="168" t="s">
        <v>56</v>
      </c>
      <c r="C34" s="214">
        <v>37405.98648733356</v>
      </c>
      <c r="D34" s="214">
        <v>42195.04328917959</v>
      </c>
      <c r="E34" s="214">
        <v>42306.618769386165</v>
      </c>
      <c r="F34" s="214">
        <v>111.57548020657123</v>
      </c>
      <c r="G34" s="214">
        <v>4900.632282052604</v>
      </c>
      <c r="H34" s="215">
        <v>0.2644279315982676</v>
      </c>
      <c r="I34" s="215">
        <v>11.76183256209078</v>
      </c>
      <c r="J34" s="215">
        <v>11.81718149081273</v>
      </c>
      <c r="K34" s="249">
        <v>13.101197808837542</v>
      </c>
      <c r="L34" s="158"/>
    </row>
    <row r="35" spans="1:12" ht="9.75">
      <c r="A35" s="158"/>
      <c r="B35" s="168" t="s">
        <v>145</v>
      </c>
      <c r="C35" s="214">
        <v>2198.930743133562</v>
      </c>
      <c r="D35" s="214">
        <v>2844.105142259589</v>
      </c>
      <c r="E35" s="214">
        <v>2824.072155246164</v>
      </c>
      <c r="F35" s="214">
        <v>-20.032987013424645</v>
      </c>
      <c r="G35" s="214">
        <v>625.1414121126022</v>
      </c>
      <c r="H35" s="215">
        <v>-0.7043687209646831</v>
      </c>
      <c r="I35" s="215">
        <v>18.764484075049264</v>
      </c>
      <c r="J35" s="215">
        <v>11.552715735920659</v>
      </c>
      <c r="K35" s="249">
        <v>28.429336124599875</v>
      </c>
      <c r="L35" s="158"/>
    </row>
    <row r="36" spans="1:12" ht="9.75">
      <c r="A36" s="158"/>
      <c r="B36" s="169" t="s">
        <v>67</v>
      </c>
      <c r="C36" s="216">
        <v>53.67970863</v>
      </c>
      <c r="D36" s="216">
        <v>186.44585999999998</v>
      </c>
      <c r="E36" s="216">
        <v>207.77138300000001</v>
      </c>
      <c r="F36" s="216">
        <v>21.325523000000032</v>
      </c>
      <c r="G36" s="216">
        <v>154.09167437000002</v>
      </c>
      <c r="H36" s="217">
        <v>11.437917151928199</v>
      </c>
      <c r="I36" s="217">
        <v>147.71566208478586</v>
      </c>
      <c r="J36" s="217">
        <v>131.36055953846443</v>
      </c>
      <c r="K36" s="250">
        <v>287.05758340104467</v>
      </c>
      <c r="L36" s="158"/>
    </row>
    <row r="37" spans="1:12" ht="9.75">
      <c r="A37" s="158"/>
      <c r="B37" s="169" t="s">
        <v>57</v>
      </c>
      <c r="C37" s="216">
        <v>2004.3510345035618</v>
      </c>
      <c r="D37" s="216">
        <v>2602.775282259589</v>
      </c>
      <c r="E37" s="216">
        <v>2560.7177722461643</v>
      </c>
      <c r="F37" s="216">
        <v>-42.05751001342469</v>
      </c>
      <c r="G37" s="216">
        <v>556.3667377426025</v>
      </c>
      <c r="H37" s="217">
        <v>-1.6158717312280846</v>
      </c>
      <c r="I37" s="217">
        <v>15.592370918484846</v>
      </c>
      <c r="J37" s="217">
        <v>7.407438556723782</v>
      </c>
      <c r="K37" s="250">
        <v>27.75794899022783</v>
      </c>
      <c r="L37" s="158"/>
    </row>
    <row r="38" spans="1:12" ht="9.75">
      <c r="A38" s="158"/>
      <c r="B38" s="169" t="s">
        <v>68</v>
      </c>
      <c r="C38" s="216">
        <v>46.187</v>
      </c>
      <c r="D38" s="216">
        <v>54.884</v>
      </c>
      <c r="E38" s="216">
        <v>55.583</v>
      </c>
      <c r="F38" s="216">
        <v>0.6989999999999981</v>
      </c>
      <c r="G38" s="216">
        <v>9.396</v>
      </c>
      <c r="H38" s="217">
        <v>1.2735952190073574</v>
      </c>
      <c r="I38" s="217">
        <v>16.717650330502504</v>
      </c>
      <c r="J38" s="217">
        <v>20.09102446282439</v>
      </c>
      <c r="K38" s="250">
        <v>20.343386667244033</v>
      </c>
      <c r="L38" s="158"/>
    </row>
    <row r="39" spans="1:12" ht="9.75">
      <c r="A39" s="158"/>
      <c r="B39" s="169" t="s">
        <v>69</v>
      </c>
      <c r="C39" s="216">
        <v>94.713</v>
      </c>
      <c r="D39" s="216">
        <v>0</v>
      </c>
      <c r="E39" s="216">
        <v>0</v>
      </c>
      <c r="F39" s="216">
        <v>0</v>
      </c>
      <c r="G39" s="216">
        <v>-94.713</v>
      </c>
      <c r="H39" s="217">
        <v>0</v>
      </c>
      <c r="I39" s="217">
        <v>0</v>
      </c>
      <c r="J39" s="217">
        <v>0</v>
      </c>
      <c r="K39" s="250">
        <v>0</v>
      </c>
      <c r="L39" s="158"/>
    </row>
    <row r="40" spans="1:12" ht="9.75">
      <c r="A40" s="158"/>
      <c r="B40" s="168" t="s">
        <v>60</v>
      </c>
      <c r="C40" s="214">
        <v>33727.95615667</v>
      </c>
      <c r="D40" s="214">
        <v>37478.948141010005</v>
      </c>
      <c r="E40" s="214">
        <v>37754.85470669001</v>
      </c>
      <c r="F40" s="214">
        <v>275.9065656800012</v>
      </c>
      <c r="G40" s="214">
        <v>4026.898550020007</v>
      </c>
      <c r="H40" s="215">
        <v>0.7361641117619848</v>
      </c>
      <c r="I40" s="215">
        <v>12.232626193573306</v>
      </c>
      <c r="J40" s="215">
        <v>13.66466052382276</v>
      </c>
      <c r="K40" s="249">
        <v>11.939349456322311</v>
      </c>
      <c r="L40" s="158"/>
    </row>
    <row r="41" spans="1:12" ht="9.75">
      <c r="A41" s="158"/>
      <c r="B41" s="169" t="s">
        <v>85</v>
      </c>
      <c r="C41" s="216">
        <v>654.9327118799999</v>
      </c>
      <c r="D41" s="216">
        <v>1558.89250937</v>
      </c>
      <c r="E41" s="216">
        <v>1525.6824909299999</v>
      </c>
      <c r="F41" s="216">
        <v>-33.21001844000011</v>
      </c>
      <c r="G41" s="216">
        <v>870.7497790499999</v>
      </c>
      <c r="H41" s="217">
        <v>-2.130359741956896</v>
      </c>
      <c r="I41" s="217">
        <v>55.10724084526635</v>
      </c>
      <c r="J41" s="217">
        <v>148.60995315854353</v>
      </c>
      <c r="K41" s="250">
        <v>132.95255577485082</v>
      </c>
      <c r="L41" s="158"/>
    </row>
    <row r="42" spans="1:12" ht="9.75">
      <c r="A42" s="158"/>
      <c r="B42" s="169" t="s">
        <v>83</v>
      </c>
      <c r="C42" s="216">
        <v>3098.8368532599998</v>
      </c>
      <c r="D42" s="216">
        <v>2321.33855145</v>
      </c>
      <c r="E42" s="216">
        <v>2416.54248428</v>
      </c>
      <c r="F42" s="216">
        <v>95.20393282999976</v>
      </c>
      <c r="G42" s="216">
        <v>-682.29436898</v>
      </c>
      <c r="H42" s="217">
        <v>4.1012515288014155</v>
      </c>
      <c r="I42" s="217">
        <v>-6.703993969321571</v>
      </c>
      <c r="J42" s="217">
        <v>-20.349261141611475</v>
      </c>
      <c r="K42" s="250">
        <v>-22.017757025905418</v>
      </c>
      <c r="L42" s="158"/>
    </row>
    <row r="43" spans="1:12" ht="9.75">
      <c r="A43" s="158"/>
      <c r="B43" s="169" t="s">
        <v>50</v>
      </c>
      <c r="C43" s="216">
        <v>2229.649</v>
      </c>
      <c r="D43" s="216">
        <v>2874.6360893500005</v>
      </c>
      <c r="E43" s="216">
        <v>2692.2697333</v>
      </c>
      <c r="F43" s="216">
        <v>-182.36635605000038</v>
      </c>
      <c r="G43" s="216">
        <v>462.6207333000002</v>
      </c>
      <c r="H43" s="217">
        <v>-6.343980607689241</v>
      </c>
      <c r="I43" s="217">
        <v>39.90346273495732</v>
      </c>
      <c r="J43" s="217">
        <v>53.57389465420399</v>
      </c>
      <c r="K43" s="250">
        <v>20.748590172713293</v>
      </c>
      <c r="L43" s="158"/>
    </row>
    <row r="44" spans="1:12" ht="9.75">
      <c r="A44" s="158"/>
      <c r="B44" s="169" t="s">
        <v>86</v>
      </c>
      <c r="C44" s="216">
        <v>24.004</v>
      </c>
      <c r="D44" s="216">
        <v>26.272</v>
      </c>
      <c r="E44" s="216">
        <v>25.753</v>
      </c>
      <c r="F44" s="216">
        <v>-0.5189999999999984</v>
      </c>
      <c r="G44" s="216">
        <v>1.7489999999999988</v>
      </c>
      <c r="H44" s="217">
        <v>-1.9754872107186299</v>
      </c>
      <c r="I44" s="217">
        <v>-43.26568898853784</v>
      </c>
      <c r="J44" s="217">
        <v>-55.98813931281725</v>
      </c>
      <c r="K44" s="250">
        <v>7.286285619063484</v>
      </c>
      <c r="L44" s="158"/>
    </row>
    <row r="45" spans="1:12" ht="9.75">
      <c r="A45" s="158"/>
      <c r="B45" s="169" t="s">
        <v>161</v>
      </c>
      <c r="C45" s="216">
        <v>332.909</v>
      </c>
      <c r="D45" s="216">
        <v>259.15700000000004</v>
      </c>
      <c r="E45" s="216">
        <v>379.91200000000003</v>
      </c>
      <c r="F45" s="216">
        <v>120.755</v>
      </c>
      <c r="G45" s="216">
        <v>47.00300000000004</v>
      </c>
      <c r="H45" s="217">
        <v>46.59530709184007</v>
      </c>
      <c r="I45" s="217">
        <v>-4.511612940196315</v>
      </c>
      <c r="J45" s="217">
        <v>-1.969261961772245</v>
      </c>
      <c r="K45" s="250">
        <v>14.118873325743685</v>
      </c>
      <c r="L45" s="158"/>
    </row>
    <row r="46" spans="1:12" ht="9.75">
      <c r="A46" s="158"/>
      <c r="B46" s="169" t="s">
        <v>162</v>
      </c>
      <c r="C46" s="216">
        <v>9181.2957611</v>
      </c>
      <c r="D46" s="216">
        <v>10292.84249227</v>
      </c>
      <c r="E46" s="216">
        <v>10560.449534890002</v>
      </c>
      <c r="F46" s="216">
        <v>267.6070426200022</v>
      </c>
      <c r="G46" s="216">
        <v>1379.1537737900017</v>
      </c>
      <c r="H46" s="217">
        <v>2.5999333305739114</v>
      </c>
      <c r="I46" s="217">
        <v>11.281036068577368</v>
      </c>
      <c r="J46" s="217">
        <v>11.100148785010491</v>
      </c>
      <c r="K46" s="250">
        <v>15.021341319090311</v>
      </c>
      <c r="L46" s="158"/>
    </row>
    <row r="47" spans="1:12" ht="9.75">
      <c r="A47" s="158"/>
      <c r="B47" s="169" t="s">
        <v>51</v>
      </c>
      <c r="C47" s="216">
        <v>18206.328830429997</v>
      </c>
      <c r="D47" s="216">
        <v>20145.809498570005</v>
      </c>
      <c r="E47" s="216">
        <v>20154.245463290004</v>
      </c>
      <c r="F47" s="216">
        <v>8.435964719999902</v>
      </c>
      <c r="G47" s="216">
        <v>1947.9166328600077</v>
      </c>
      <c r="H47" s="217">
        <v>0.04187453832817543</v>
      </c>
      <c r="I47" s="217">
        <v>11.600230403378145</v>
      </c>
      <c r="J47" s="217">
        <v>12.098846284417489</v>
      </c>
      <c r="K47" s="250">
        <v>10.699118152827529</v>
      </c>
      <c r="L47" s="158"/>
    </row>
    <row r="48" spans="1:12" ht="9.75">
      <c r="A48" s="158"/>
      <c r="B48" s="170" t="s">
        <v>138</v>
      </c>
      <c r="C48" s="214">
        <v>1479.09958753</v>
      </c>
      <c r="D48" s="214">
        <v>1871.99000591</v>
      </c>
      <c r="E48" s="214">
        <v>1727.6919074499997</v>
      </c>
      <c r="F48" s="214">
        <v>-144.29809846000035</v>
      </c>
      <c r="G48" s="214">
        <v>248.59231991999968</v>
      </c>
      <c r="H48" s="215">
        <v>-7.708272907678001</v>
      </c>
      <c r="I48" s="215">
        <v>-4.706444418053534</v>
      </c>
      <c r="J48" s="215">
        <v>-15.406226069943232</v>
      </c>
      <c r="K48" s="249">
        <v>16.807003532137593</v>
      </c>
      <c r="L48" s="158"/>
    </row>
    <row r="49" spans="1:12" ht="9.75">
      <c r="A49" s="158"/>
      <c r="B49" s="171"/>
      <c r="C49" s="214"/>
      <c r="D49" s="214"/>
      <c r="E49" s="214"/>
      <c r="F49" s="214"/>
      <c r="G49" s="216"/>
      <c r="H49" s="217"/>
      <c r="I49" s="217"/>
      <c r="J49" s="217"/>
      <c r="K49" s="250"/>
      <c r="L49" s="158"/>
    </row>
    <row r="50" spans="1:12" ht="9.75">
      <c r="A50" s="158"/>
      <c r="B50" s="168" t="s">
        <v>62</v>
      </c>
      <c r="C50" s="214">
        <v>37405.98668419986</v>
      </c>
      <c r="D50" s="214">
        <v>42195.04224166095</v>
      </c>
      <c r="E50" s="214">
        <v>42306.61852107752</v>
      </c>
      <c r="F50" s="214">
        <v>111.5762794165712</v>
      </c>
      <c r="G50" s="214">
        <v>4900.631836877663</v>
      </c>
      <c r="H50" s="215">
        <v>0.2644298322479393</v>
      </c>
      <c r="I50" s="215">
        <v>11.761832109961459</v>
      </c>
      <c r="J50" s="215">
        <v>11.817178713285639</v>
      </c>
      <c r="K50" s="249">
        <v>13.101196549769586</v>
      </c>
      <c r="L50" s="158"/>
    </row>
    <row r="51" spans="1:12" ht="9.75">
      <c r="A51" s="158"/>
      <c r="B51" s="172" t="s">
        <v>71</v>
      </c>
      <c r="C51" s="214">
        <v>1000.474265793</v>
      </c>
      <c r="D51" s="214">
        <v>958.1139279534246</v>
      </c>
      <c r="E51" s="214">
        <v>954.1121952034247</v>
      </c>
      <c r="F51" s="214">
        <v>-4.001732749999974</v>
      </c>
      <c r="G51" s="214">
        <v>-46.362070589575296</v>
      </c>
      <c r="H51" s="215">
        <v>-0.4176677358764483</v>
      </c>
      <c r="I51" s="215">
        <v>-15.668181608574127</v>
      </c>
      <c r="J51" s="215">
        <v>0.029520008376943508</v>
      </c>
      <c r="K51" s="249">
        <v>-4.634009306858843</v>
      </c>
      <c r="L51" s="158"/>
    </row>
    <row r="52" spans="1:12" ht="9.75">
      <c r="A52" s="158"/>
      <c r="B52" s="169" t="s">
        <v>57</v>
      </c>
      <c r="C52" s="216">
        <v>332.773244993</v>
      </c>
      <c r="D52" s="216">
        <v>286.6578517</v>
      </c>
      <c r="E52" s="216">
        <v>288.09111895</v>
      </c>
      <c r="F52" s="216">
        <v>1.4332672500000285</v>
      </c>
      <c r="G52" s="216">
        <v>-44.68212604299998</v>
      </c>
      <c r="H52" s="217">
        <v>0.49999232238020314</v>
      </c>
      <c r="I52" s="217">
        <v>-8.041978271372086</v>
      </c>
      <c r="J52" s="217">
        <v>3.308631432887638</v>
      </c>
      <c r="K52" s="250">
        <v>-13.427199065820297</v>
      </c>
      <c r="L52" s="158"/>
    </row>
    <row r="53" spans="1:12" ht="9.75">
      <c r="A53" s="158"/>
      <c r="B53" s="169" t="s">
        <v>58</v>
      </c>
      <c r="C53" s="216">
        <v>455.018</v>
      </c>
      <c r="D53" s="216">
        <v>444.827</v>
      </c>
      <c r="E53" s="216">
        <v>439.392</v>
      </c>
      <c r="F53" s="216">
        <v>-5.435000000000002</v>
      </c>
      <c r="G53" s="216">
        <v>-15.625999999999976</v>
      </c>
      <c r="H53" s="217">
        <v>-1.221823315581114</v>
      </c>
      <c r="I53" s="217">
        <v>-3.6774813359271628</v>
      </c>
      <c r="J53" s="217">
        <v>-3.5743394983048447</v>
      </c>
      <c r="K53" s="250">
        <v>-3.4341498578078182</v>
      </c>
      <c r="L53" s="158"/>
    </row>
    <row r="54" spans="1:12" ht="9.75">
      <c r="A54" s="158"/>
      <c r="B54" s="169" t="s">
        <v>68</v>
      </c>
      <c r="C54" s="216">
        <v>212.68302079999998</v>
      </c>
      <c r="D54" s="216">
        <v>226.62907625342464</v>
      </c>
      <c r="E54" s="216">
        <v>226.62907625342464</v>
      </c>
      <c r="F54" s="216">
        <v>0</v>
      </c>
      <c r="G54" s="216">
        <v>13.946055453424663</v>
      </c>
      <c r="H54" s="217">
        <v>0</v>
      </c>
      <c r="I54" s="217">
        <v>-37.28517845103342</v>
      </c>
      <c r="J54" s="217">
        <v>3.465633699595233</v>
      </c>
      <c r="K54" s="250">
        <v>6.557202075166625</v>
      </c>
      <c r="L54" s="158"/>
    </row>
    <row r="55" spans="1:12" ht="9.75">
      <c r="A55" s="158"/>
      <c r="B55" s="169" t="s">
        <v>72</v>
      </c>
      <c r="C55" s="216">
        <v>0</v>
      </c>
      <c r="D55" s="216">
        <v>0</v>
      </c>
      <c r="E55" s="216">
        <v>0</v>
      </c>
      <c r="F55" s="216">
        <v>0</v>
      </c>
      <c r="G55" s="216">
        <v>0</v>
      </c>
      <c r="H55" s="217">
        <v>0</v>
      </c>
      <c r="I55" s="217">
        <v>0</v>
      </c>
      <c r="J55" s="217">
        <v>0</v>
      </c>
      <c r="K55" s="250">
        <v>0</v>
      </c>
      <c r="L55" s="158"/>
    </row>
    <row r="56" spans="1:12" ht="9.75">
      <c r="A56" s="158"/>
      <c r="B56" s="168" t="s">
        <v>73</v>
      </c>
      <c r="C56" s="214">
        <v>36405.51241840686</v>
      </c>
      <c r="D56" s="214">
        <v>41236.928313707525</v>
      </c>
      <c r="E56" s="214">
        <v>41352.5063258741</v>
      </c>
      <c r="F56" s="214">
        <v>115.5780121665739</v>
      </c>
      <c r="G56" s="214">
        <v>4946.993907467237</v>
      </c>
      <c r="H56" s="215">
        <v>0.2802779375013602</v>
      </c>
      <c r="I56" s="215">
        <v>12.57959232698174</v>
      </c>
      <c r="J56" s="215">
        <v>12.124172414153929</v>
      </c>
      <c r="K56" s="249">
        <v>13.588584746759407</v>
      </c>
      <c r="L56" s="158"/>
    </row>
    <row r="57" spans="1:12" ht="9.75">
      <c r="A57" s="158"/>
      <c r="B57" s="169" t="s">
        <v>74</v>
      </c>
      <c r="C57" s="216">
        <v>21786.087017897</v>
      </c>
      <c r="D57" s="216">
        <v>26829.247713932757</v>
      </c>
      <c r="E57" s="216">
        <v>26097.24251375276</v>
      </c>
      <c r="F57" s="216">
        <v>-732.0052001799959</v>
      </c>
      <c r="G57" s="216">
        <v>4311.155495855761</v>
      </c>
      <c r="H57" s="217">
        <v>-2.72838511159542</v>
      </c>
      <c r="I57" s="217">
        <v>11.519043854091441</v>
      </c>
      <c r="J57" s="217">
        <v>20.288409772761124</v>
      </c>
      <c r="K57" s="250">
        <v>19.788571909743133</v>
      </c>
      <c r="L57" s="158"/>
    </row>
    <row r="58" spans="1:12" ht="9.75">
      <c r="A58" s="158"/>
      <c r="B58" s="173" t="s">
        <v>75</v>
      </c>
      <c r="C58" s="216">
        <v>14029.42486284</v>
      </c>
      <c r="D58" s="216">
        <v>16645.222026542757</v>
      </c>
      <c r="E58" s="216">
        <v>16361.988408832758</v>
      </c>
      <c r="F58" s="216">
        <v>-283.2336177099987</v>
      </c>
      <c r="G58" s="216">
        <v>2332.563545992758</v>
      </c>
      <c r="H58" s="217">
        <v>-1.7015911067953886</v>
      </c>
      <c r="I58" s="217">
        <v>6.589050166544823</v>
      </c>
      <c r="J58" s="217">
        <v>19.718567425683105</v>
      </c>
      <c r="K58" s="250">
        <v>16.626223589329474</v>
      </c>
      <c r="L58" s="158"/>
    </row>
    <row r="59" spans="1:12" ht="9.75">
      <c r="A59" s="158"/>
      <c r="B59" s="173" t="s">
        <v>72</v>
      </c>
      <c r="C59" s="216">
        <v>7756.662155057</v>
      </c>
      <c r="D59" s="216">
        <v>10184.02568739</v>
      </c>
      <c r="E59" s="216">
        <v>9735.25410492</v>
      </c>
      <c r="F59" s="216">
        <v>-448.771582469999</v>
      </c>
      <c r="G59" s="216">
        <v>1978.591949863001</v>
      </c>
      <c r="H59" s="217">
        <v>-4.40662264850406</v>
      </c>
      <c r="I59" s="217">
        <v>19.34219357889492</v>
      </c>
      <c r="J59" s="217">
        <v>21.231555918336035</v>
      </c>
      <c r="K59" s="250">
        <v>25.508290941523693</v>
      </c>
      <c r="L59" s="158"/>
    </row>
    <row r="60" spans="1:12" ht="9.75">
      <c r="A60" s="158"/>
      <c r="B60" s="169" t="s">
        <v>126</v>
      </c>
      <c r="C60" s="216">
        <v>855.78183937</v>
      </c>
      <c r="D60" s="216">
        <v>1013.2376336599999</v>
      </c>
      <c r="E60" s="216">
        <v>1357.92402363</v>
      </c>
      <c r="F60" s="216">
        <v>344.68638997000005</v>
      </c>
      <c r="G60" s="216">
        <v>502.14218426</v>
      </c>
      <c r="H60" s="217">
        <v>34.01831697910091</v>
      </c>
      <c r="I60" s="217">
        <v>97.95567611418717</v>
      </c>
      <c r="J60" s="217">
        <v>25.67027912993588</v>
      </c>
      <c r="K60" s="250">
        <v>58.6764244295791</v>
      </c>
      <c r="L60" s="158"/>
    </row>
    <row r="61" spans="1:12" ht="9.75">
      <c r="A61" s="158"/>
      <c r="B61" s="169" t="s">
        <v>146</v>
      </c>
      <c r="C61" s="216">
        <v>5.94775818</v>
      </c>
      <c r="D61" s="216">
        <v>3.924901095460822</v>
      </c>
      <c r="E61" s="216">
        <v>3.924901095460822</v>
      </c>
      <c r="F61" s="216">
        <v>0</v>
      </c>
      <c r="G61" s="216">
        <v>-2.022857084539178</v>
      </c>
      <c r="H61" s="217">
        <v>0</v>
      </c>
      <c r="I61" s="217">
        <v>0.7087357683330799</v>
      </c>
      <c r="J61" s="217">
        <v>-34.010412382622754</v>
      </c>
      <c r="K61" s="250">
        <v>-34.010412382622754</v>
      </c>
      <c r="L61" s="158"/>
    </row>
    <row r="62" spans="1:12" ht="9.75">
      <c r="A62" s="158"/>
      <c r="B62" s="169" t="s">
        <v>147</v>
      </c>
      <c r="C62" s="216">
        <v>4957.7237613698635</v>
      </c>
      <c r="D62" s="216">
        <v>4699.61836917</v>
      </c>
      <c r="E62" s="216">
        <v>5265.38250356</v>
      </c>
      <c r="F62" s="216">
        <v>565.7641343900004</v>
      </c>
      <c r="G62" s="216">
        <v>307.65874219013676</v>
      </c>
      <c r="H62" s="217">
        <v>12.038512277964394</v>
      </c>
      <c r="I62" s="217">
        <v>41.30022958939838</v>
      </c>
      <c r="J62" s="217">
        <v>3.4402175240127617</v>
      </c>
      <c r="K62" s="250">
        <v>6.205645110511924</v>
      </c>
      <c r="L62" s="158"/>
    </row>
    <row r="63" spans="1:12" ht="9.75">
      <c r="A63" s="158"/>
      <c r="B63" s="169" t="s">
        <v>106</v>
      </c>
      <c r="C63" s="216">
        <v>624.228531159589</v>
      </c>
      <c r="D63" s="216">
        <v>589.019570469726</v>
      </c>
      <c r="E63" s="216">
        <v>633.925818109726</v>
      </c>
      <c r="F63" s="216">
        <v>44.90624764000006</v>
      </c>
      <c r="G63" s="216">
        <v>9.697286950137027</v>
      </c>
      <c r="H63" s="217">
        <v>7.623897386667243</v>
      </c>
      <c r="I63" s="217">
        <v>8.244801925147778</v>
      </c>
      <c r="J63" s="217">
        <v>-5.083520930612407</v>
      </c>
      <c r="K63" s="250">
        <v>1.5534834545487697</v>
      </c>
      <c r="L63" s="158"/>
    </row>
    <row r="64" spans="1:12" ht="9.75">
      <c r="A64" s="158"/>
      <c r="B64" s="169" t="s">
        <v>107</v>
      </c>
      <c r="C64" s="216">
        <v>1939.6458145</v>
      </c>
      <c r="D64" s="216">
        <v>881.1179178100001</v>
      </c>
      <c r="E64" s="216">
        <v>823.60191262</v>
      </c>
      <c r="F64" s="216">
        <v>-57.5160051900001</v>
      </c>
      <c r="G64" s="216">
        <v>-1116.0439018799998</v>
      </c>
      <c r="H64" s="217">
        <v>-6.527617249341032</v>
      </c>
      <c r="I64" s="217">
        <v>-53.94703793208555</v>
      </c>
      <c r="J64" s="217">
        <v>-49.7326312400362</v>
      </c>
      <c r="K64" s="250">
        <v>-57.53854098191079</v>
      </c>
      <c r="L64" s="158"/>
    </row>
    <row r="65" spans="1:12" ht="9.75">
      <c r="A65" s="158"/>
      <c r="B65" s="169" t="s">
        <v>68</v>
      </c>
      <c r="C65" s="216">
        <v>5.345</v>
      </c>
      <c r="D65" s="216">
        <v>6.863129799999999</v>
      </c>
      <c r="E65" s="216">
        <v>6.863129799999999</v>
      </c>
      <c r="F65" s="216">
        <v>0</v>
      </c>
      <c r="G65" s="216">
        <v>1.5181297999999996</v>
      </c>
      <c r="H65" s="217">
        <v>0</v>
      </c>
      <c r="I65" s="217">
        <v>33.71921421854428</v>
      </c>
      <c r="J65" s="217">
        <v>28.78832426346406</v>
      </c>
      <c r="K65" s="250">
        <v>28.40280261927034</v>
      </c>
      <c r="L65" s="158"/>
    </row>
    <row r="66" spans="1:12" ht="9.75">
      <c r="A66" s="158"/>
      <c r="B66" s="169" t="s">
        <v>87</v>
      </c>
      <c r="C66" s="216">
        <v>0</v>
      </c>
      <c r="D66" s="216">
        <v>0</v>
      </c>
      <c r="E66" s="216">
        <v>0</v>
      </c>
      <c r="F66" s="216">
        <v>0</v>
      </c>
      <c r="G66" s="216">
        <v>0</v>
      </c>
      <c r="H66" s="217">
        <v>0</v>
      </c>
      <c r="I66" s="217">
        <v>0</v>
      </c>
      <c r="J66" s="217">
        <v>1</v>
      </c>
      <c r="K66" s="250">
        <v>2</v>
      </c>
      <c r="L66" s="158"/>
    </row>
    <row r="67" spans="1:12" ht="9.75">
      <c r="A67" s="158"/>
      <c r="B67" s="169" t="s">
        <v>66</v>
      </c>
      <c r="C67" s="216">
        <v>4279.1206532100005</v>
      </c>
      <c r="D67" s="216">
        <v>5075.206551570001</v>
      </c>
      <c r="E67" s="216">
        <v>5092.6965313588</v>
      </c>
      <c r="F67" s="216">
        <v>17.489979788799246</v>
      </c>
      <c r="G67" s="216">
        <v>813.5758781487993</v>
      </c>
      <c r="H67" s="217">
        <v>0.3446161178088165</v>
      </c>
      <c r="I67" s="217">
        <v>11.24159729295814</v>
      </c>
      <c r="J67" s="217">
        <v>12.548288346155148</v>
      </c>
      <c r="K67" s="250">
        <v>19.012688448933822</v>
      </c>
      <c r="L67" s="158"/>
    </row>
    <row r="68" spans="1:12" ht="9.75">
      <c r="A68" s="158"/>
      <c r="B68" s="169" t="s">
        <v>108</v>
      </c>
      <c r="C68" s="216">
        <v>1948.37731666</v>
      </c>
      <c r="D68" s="216">
        <v>2138.5181473000002</v>
      </c>
      <c r="E68" s="216">
        <v>2068.6235594412</v>
      </c>
      <c r="F68" s="216">
        <v>-69.89458785880015</v>
      </c>
      <c r="G68" s="216">
        <v>120.24624278120018</v>
      </c>
      <c r="H68" s="217">
        <v>-3.2683654308496757</v>
      </c>
      <c r="I68" s="217">
        <v>17.307890101613804</v>
      </c>
      <c r="J68" s="217">
        <v>-3.9872224037940094</v>
      </c>
      <c r="K68" s="250">
        <v>6.171609664771295</v>
      </c>
      <c r="L68" s="158"/>
    </row>
    <row r="69" spans="1:12" ht="11.25" customHeight="1" hidden="1">
      <c r="A69" s="158"/>
      <c r="B69" s="169" t="s">
        <v>109</v>
      </c>
      <c r="C69" s="216">
        <v>2.8341638743835063</v>
      </c>
      <c r="D69" s="216">
        <v>1.8377828767124296</v>
      </c>
      <c r="E69" s="216">
        <v>0.17437889958894282</v>
      </c>
      <c r="F69" s="216">
        <v>-1.6634039771234868</v>
      </c>
      <c r="G69" s="216">
        <v>-1.8377828767124296</v>
      </c>
      <c r="H69" s="217">
        <v>-90.51145258786579</v>
      </c>
      <c r="I69" s="217">
        <v>-72.84782147358126</v>
      </c>
      <c r="J69" s="217">
        <v>-300.8348327809284</v>
      </c>
      <c r="K69" s="250">
        <v>-93.84725417026655</v>
      </c>
      <c r="L69" s="158"/>
    </row>
    <row r="70" spans="1:12" ht="12" customHeight="1" hidden="1">
      <c r="A70" s="158"/>
      <c r="B70" s="169" t="s">
        <v>109</v>
      </c>
      <c r="C70" s="205"/>
      <c r="D70" s="205"/>
      <c r="E70" s="205"/>
      <c r="F70" s="205"/>
      <c r="G70" s="205"/>
      <c r="H70" s="205"/>
      <c r="I70" s="205"/>
      <c r="J70" s="205"/>
      <c r="K70" s="251"/>
      <c r="L70" s="158"/>
    </row>
    <row r="71" spans="1:12" ht="12" customHeight="1" hidden="1" thickBot="1">
      <c r="A71" s="158"/>
      <c r="B71" s="174"/>
      <c r="C71" s="206">
        <v>5.382244125939906E-07</v>
      </c>
      <c r="D71" s="206">
        <v>-0.00016547278937650844</v>
      </c>
      <c r="E71" s="206">
        <v>-0.0010475186427356675</v>
      </c>
      <c r="F71" s="206">
        <v>-0.0008820458533591591</v>
      </c>
      <c r="G71" s="206">
        <v>-0.0010480568671482615</v>
      </c>
      <c r="H71" s="206">
        <v>-2.142984603992204E-06</v>
      </c>
      <c r="I71" s="206">
        <v>6.347855396882096E-07</v>
      </c>
      <c r="J71" s="206">
        <v>-4.5426210881771567E-07</v>
      </c>
      <c r="K71" s="252">
        <v>-2.7775271149721448E-06</v>
      </c>
      <c r="L71" s="158"/>
    </row>
    <row r="72" spans="1:12" ht="12" customHeight="1" hidden="1">
      <c r="A72" s="158"/>
      <c r="B72" s="174"/>
      <c r="C72" s="60"/>
      <c r="D72" s="60"/>
      <c r="E72" s="60"/>
      <c r="F72" s="60"/>
      <c r="G72" s="39"/>
      <c r="H72" s="39"/>
      <c r="I72" s="39"/>
      <c r="J72" s="39"/>
      <c r="K72" s="119"/>
      <c r="L72" s="158"/>
    </row>
    <row r="73" spans="1:12" ht="12" customHeight="1" thickBot="1">
      <c r="A73" s="158"/>
      <c r="B73" s="175"/>
      <c r="C73" s="176"/>
      <c r="D73" s="176"/>
      <c r="E73" s="176"/>
      <c r="F73" s="176"/>
      <c r="G73" s="41"/>
      <c r="H73" s="41"/>
      <c r="I73" s="41"/>
      <c r="J73" s="41"/>
      <c r="K73" s="123"/>
      <c r="L73" s="158"/>
    </row>
    <row r="74" ht="9.75">
      <c r="B74" s="59"/>
    </row>
    <row r="75" ht="9.75">
      <c r="B75" s="55"/>
    </row>
    <row r="76" ht="10.5" thickBot="1">
      <c r="B76" s="55"/>
    </row>
    <row r="77" spans="2:12" ht="9.75">
      <c r="B77" s="274" t="s">
        <v>82</v>
      </c>
      <c r="C77" s="275"/>
      <c r="D77" s="275"/>
      <c r="E77" s="275"/>
      <c r="F77" s="275"/>
      <c r="G77" s="275"/>
      <c r="H77" s="275"/>
      <c r="I77" s="275"/>
      <c r="J77" s="275"/>
      <c r="K77" s="276"/>
      <c r="L77" s="158"/>
    </row>
    <row r="78" spans="2:12" ht="10.5" thickBot="1">
      <c r="B78" s="294" t="s">
        <v>141</v>
      </c>
      <c r="C78" s="295"/>
      <c r="D78" s="295"/>
      <c r="E78" s="295"/>
      <c r="F78" s="295"/>
      <c r="G78" s="295"/>
      <c r="H78" s="295"/>
      <c r="I78" s="295"/>
      <c r="J78" s="295"/>
      <c r="K78" s="296"/>
      <c r="L78" s="158"/>
    </row>
    <row r="79" spans="2:12" ht="9.75">
      <c r="B79" s="160"/>
      <c r="C79" s="159"/>
      <c r="D79" s="44"/>
      <c r="E79" s="159"/>
      <c r="F79" s="270" t="s">
        <v>132</v>
      </c>
      <c r="G79" s="297"/>
      <c r="H79" s="181" t="s">
        <v>163</v>
      </c>
      <c r="I79" s="270" t="s">
        <v>166</v>
      </c>
      <c r="J79" s="271"/>
      <c r="K79" s="272"/>
      <c r="L79" s="158"/>
    </row>
    <row r="80" spans="2:12" ht="9.75">
      <c r="B80" s="161"/>
      <c r="C80" s="12">
        <f>C33</f>
        <v>39169</v>
      </c>
      <c r="D80" s="113">
        <f>D33</f>
        <v>39506</v>
      </c>
      <c r="E80" s="12">
        <f>E33</f>
        <v>39517</v>
      </c>
      <c r="F80" s="12" t="s">
        <v>135</v>
      </c>
      <c r="G80" s="103" t="s">
        <v>134</v>
      </c>
      <c r="H80" s="103" t="s">
        <v>167</v>
      </c>
      <c r="I80" s="12">
        <f>I33</f>
        <v>39448</v>
      </c>
      <c r="J80" s="12">
        <f>J33</f>
        <v>39479</v>
      </c>
      <c r="K80" s="231">
        <f>K33</f>
        <v>39508</v>
      </c>
      <c r="L80" s="158"/>
    </row>
    <row r="81" spans="2:14" ht="9.75">
      <c r="B81" s="118" t="s">
        <v>56</v>
      </c>
      <c r="C81" s="218">
        <v>35939.217578394964</v>
      </c>
      <c r="D81" s="218">
        <v>42761.03095928644</v>
      </c>
      <c r="E81" s="218">
        <v>43553.26354408301</v>
      </c>
      <c r="F81" s="218">
        <v>792.2325847965694</v>
      </c>
      <c r="G81" s="218">
        <v>7614.045965688048</v>
      </c>
      <c r="H81" s="219">
        <v>1.852697577733494</v>
      </c>
      <c r="I81" s="219">
        <v>18.513198054676756</v>
      </c>
      <c r="J81" s="219">
        <v>18.43133150442899</v>
      </c>
      <c r="K81" s="253">
        <v>21.185897965305927</v>
      </c>
      <c r="L81" s="57"/>
      <c r="M81" s="57"/>
      <c r="N81" s="56"/>
    </row>
    <row r="82" spans="2:14" ht="9.75">
      <c r="B82" s="118" t="s">
        <v>1</v>
      </c>
      <c r="C82" s="218">
        <v>6888.471109660561</v>
      </c>
      <c r="D82" s="218">
        <v>10542.645694256165</v>
      </c>
      <c r="E82" s="218">
        <v>10770.740284482737</v>
      </c>
      <c r="F82" s="218">
        <v>228.0945902265721</v>
      </c>
      <c r="G82" s="218">
        <v>3882.269174822177</v>
      </c>
      <c r="H82" s="219">
        <v>2.1635422155070847</v>
      </c>
      <c r="I82" s="219">
        <v>69.09430020210152</v>
      </c>
      <c r="J82" s="219">
        <v>74.0256542217399</v>
      </c>
      <c r="K82" s="253">
        <v>56.3589381884405</v>
      </c>
      <c r="L82" s="57"/>
      <c r="M82" s="57"/>
      <c r="N82" s="56"/>
    </row>
    <row r="83" spans="2:13" ht="9.75">
      <c r="B83" s="118" t="s">
        <v>76</v>
      </c>
      <c r="C83" s="218">
        <v>27310.231806310407</v>
      </c>
      <c r="D83" s="218">
        <v>30159.562802060278</v>
      </c>
      <c r="E83" s="218">
        <v>30774.67267469028</v>
      </c>
      <c r="F83" s="218">
        <v>615.1098726300006</v>
      </c>
      <c r="G83" s="218">
        <v>3464.440868379872</v>
      </c>
      <c r="H83" s="219">
        <v>2.039518532370704</v>
      </c>
      <c r="I83" s="219">
        <v>8.549355669475837</v>
      </c>
      <c r="J83" s="219">
        <v>9.21176379071649</v>
      </c>
      <c r="K83" s="253">
        <v>12.685505172385117</v>
      </c>
      <c r="L83" s="177"/>
      <c r="M83" s="58"/>
    </row>
    <row r="84" spans="2:13" ht="9.75">
      <c r="B84" s="120" t="s">
        <v>110</v>
      </c>
      <c r="C84" s="220">
        <v>-2680.4415713195885</v>
      </c>
      <c r="D84" s="220">
        <v>-3460.7502438397255</v>
      </c>
      <c r="E84" s="220">
        <v>-3059.244905449726</v>
      </c>
      <c r="F84" s="220">
        <v>401.50533838999945</v>
      </c>
      <c r="G84" s="220">
        <v>-378.8033341301375</v>
      </c>
      <c r="H84" s="221">
        <v>-11.601684897796224</v>
      </c>
      <c r="I84" s="221">
        <v>66.88240729054009</v>
      </c>
      <c r="J84" s="221">
        <v>88.9545984793219</v>
      </c>
      <c r="K84" s="254">
        <v>14.132124280689007</v>
      </c>
      <c r="L84" s="177"/>
      <c r="M84" s="58"/>
    </row>
    <row r="85" spans="2:13" ht="9.75">
      <c r="B85" s="120" t="s">
        <v>144</v>
      </c>
      <c r="C85" s="220">
        <v>29990.673377629995</v>
      </c>
      <c r="D85" s="220">
        <v>33620.3130459</v>
      </c>
      <c r="E85" s="220">
        <v>33833.917580140005</v>
      </c>
      <c r="F85" s="220">
        <v>213.60453424000298</v>
      </c>
      <c r="G85" s="220">
        <v>3843.24420251001</v>
      </c>
      <c r="H85" s="221">
        <v>0.6353436803172541</v>
      </c>
      <c r="I85" s="221">
        <v>12.990646389413623</v>
      </c>
      <c r="J85" s="221">
        <v>14.171521942610429</v>
      </c>
      <c r="K85" s="254">
        <v>12.814797967746468</v>
      </c>
      <c r="L85" s="177"/>
      <c r="M85" s="58"/>
    </row>
    <row r="86" spans="2:13" ht="9.75">
      <c r="B86" s="130" t="s">
        <v>111</v>
      </c>
      <c r="C86" s="220">
        <v>2229.649</v>
      </c>
      <c r="D86" s="220">
        <v>2874.63608935</v>
      </c>
      <c r="E86" s="220">
        <v>2692.2697333</v>
      </c>
      <c r="F86" s="220">
        <v>-182.36635604999992</v>
      </c>
      <c r="G86" s="220">
        <v>462.6207333000002</v>
      </c>
      <c r="H86" s="221">
        <v>-6.343980607689225</v>
      </c>
      <c r="I86" s="221">
        <v>39.903462734957294</v>
      </c>
      <c r="J86" s="221">
        <v>53.57389465420397</v>
      </c>
      <c r="K86" s="254">
        <v>20.748590172713293</v>
      </c>
      <c r="L86" s="177"/>
      <c r="M86" s="58"/>
    </row>
    <row r="87" spans="2:13" ht="9.75">
      <c r="B87" s="130" t="s">
        <v>112</v>
      </c>
      <c r="C87" s="220">
        <v>24.004</v>
      </c>
      <c r="D87" s="220">
        <v>26.272</v>
      </c>
      <c r="E87" s="220">
        <v>25.753</v>
      </c>
      <c r="F87" s="220">
        <v>-0.5189999999999984</v>
      </c>
      <c r="G87" s="220">
        <v>1.7489999999999988</v>
      </c>
      <c r="H87" s="221">
        <v>-1.9754872107186299</v>
      </c>
      <c r="I87" s="221">
        <v>-43.26568898853784</v>
      </c>
      <c r="J87" s="221">
        <v>-55.98813931281725</v>
      </c>
      <c r="K87" s="254">
        <v>7.286285619063484</v>
      </c>
      <c r="L87" s="177"/>
      <c r="M87" s="58"/>
    </row>
    <row r="88" spans="2:13" ht="9.75">
      <c r="B88" s="130" t="s">
        <v>113</v>
      </c>
      <c r="C88" s="220">
        <v>332.909</v>
      </c>
      <c r="D88" s="220">
        <v>259.15700000000004</v>
      </c>
      <c r="E88" s="220">
        <v>379.91200000000003</v>
      </c>
      <c r="F88" s="220">
        <v>120.755</v>
      </c>
      <c r="G88" s="220">
        <v>47.00300000000004</v>
      </c>
      <c r="H88" s="221">
        <v>46.59530709184007</v>
      </c>
      <c r="I88" s="221">
        <v>-4.511612940196315</v>
      </c>
      <c r="J88" s="221">
        <v>-1.969261961772245</v>
      </c>
      <c r="K88" s="254">
        <v>14.118873325743685</v>
      </c>
      <c r="L88" s="177"/>
      <c r="M88" s="58"/>
    </row>
    <row r="89" spans="2:13" ht="9.75">
      <c r="B89" s="130" t="s">
        <v>114</v>
      </c>
      <c r="C89" s="220">
        <v>9181.2957611</v>
      </c>
      <c r="D89" s="220">
        <v>10292.84249227</v>
      </c>
      <c r="E89" s="220">
        <v>10560.449534890002</v>
      </c>
      <c r="F89" s="220">
        <v>267.6070426200022</v>
      </c>
      <c r="G89" s="220">
        <v>1379.1537737900017</v>
      </c>
      <c r="H89" s="221">
        <v>2.5999333305739114</v>
      </c>
      <c r="I89" s="221">
        <v>11.281036068577368</v>
      </c>
      <c r="J89" s="221">
        <v>11.100148785010491</v>
      </c>
      <c r="K89" s="254">
        <v>15.021341319090311</v>
      </c>
      <c r="L89" s="177"/>
      <c r="M89" s="58"/>
    </row>
    <row r="90" spans="2:13" ht="9.75">
      <c r="B90" s="130" t="s">
        <v>115</v>
      </c>
      <c r="C90" s="220">
        <v>18222.815616529995</v>
      </c>
      <c r="D90" s="220">
        <v>20167.405464280004</v>
      </c>
      <c r="E90" s="220">
        <v>20175.533311950003</v>
      </c>
      <c r="F90" s="220">
        <v>8.127847669999028</v>
      </c>
      <c r="G90" s="220">
        <v>1952.7176954200077</v>
      </c>
      <c r="H90" s="221">
        <v>0.040301900432333074</v>
      </c>
      <c r="I90" s="221">
        <v>11.597084503202407</v>
      </c>
      <c r="J90" s="221">
        <v>12.123098660828326</v>
      </c>
      <c r="K90" s="254">
        <v>10.715784742115751</v>
      </c>
      <c r="L90" s="177"/>
      <c r="M90" s="58"/>
    </row>
    <row r="91" spans="2:14" ht="9.75">
      <c r="B91" s="117" t="s">
        <v>70</v>
      </c>
      <c r="C91" s="220">
        <v>1740.5146624239999</v>
      </c>
      <c r="D91" s="220">
        <v>2058.82246297</v>
      </c>
      <c r="E91" s="220">
        <v>2007.8505849099997</v>
      </c>
      <c r="F91" s="220">
        <v>-50.97187806000011</v>
      </c>
      <c r="G91" s="220">
        <v>267.33592248599984</v>
      </c>
      <c r="H91" s="221">
        <v>-2.475778216761318</v>
      </c>
      <c r="I91" s="221">
        <v>-2.5317153522307305</v>
      </c>
      <c r="J91" s="221">
        <v>-15.358745743129543</v>
      </c>
      <c r="K91" s="254">
        <v>15.359590370453036</v>
      </c>
      <c r="L91" s="57"/>
      <c r="M91" s="57"/>
      <c r="N91" s="56"/>
    </row>
    <row r="92" spans="2:13" ht="9.75">
      <c r="B92" s="117"/>
      <c r="C92" s="220"/>
      <c r="D92" s="220"/>
      <c r="E92" s="220"/>
      <c r="F92" s="218"/>
      <c r="G92" s="218"/>
      <c r="H92" s="219"/>
      <c r="I92" s="219"/>
      <c r="J92" s="219"/>
      <c r="K92" s="253"/>
      <c r="L92" s="177"/>
      <c r="M92" s="58"/>
    </row>
    <row r="93" spans="2:14" ht="9.75">
      <c r="B93" s="118" t="s">
        <v>62</v>
      </c>
      <c r="C93" s="218">
        <v>35939.219764397276</v>
      </c>
      <c r="D93" s="218">
        <v>42761.04797624781</v>
      </c>
      <c r="E93" s="218">
        <v>43552.264587684396</v>
      </c>
      <c r="F93" s="218">
        <v>791.2166114365828</v>
      </c>
      <c r="G93" s="218">
        <v>7613.04482328712</v>
      </c>
      <c r="H93" s="219">
        <v>1.8503209085896921</v>
      </c>
      <c r="I93" s="219">
        <v>18.513374177911697</v>
      </c>
      <c r="J93" s="219">
        <v>18.431305116830135</v>
      </c>
      <c r="K93" s="253">
        <v>21.18311102242925</v>
      </c>
      <c r="L93" s="57"/>
      <c r="M93" s="57"/>
      <c r="N93" s="56"/>
    </row>
    <row r="94" spans="2:13" ht="9.75">
      <c r="B94" s="118" t="s">
        <v>77</v>
      </c>
      <c r="C94" s="218">
        <v>22589.683775737005</v>
      </c>
      <c r="D94" s="218">
        <v>27715.35181879822</v>
      </c>
      <c r="E94" s="218">
        <v>27029.52868793822</v>
      </c>
      <c r="F94" s="218">
        <v>-685.8231308600007</v>
      </c>
      <c r="G94" s="218">
        <v>4439.844912201213</v>
      </c>
      <c r="H94" s="219">
        <v>-2.4745243551078944</v>
      </c>
      <c r="I94" s="219">
        <v>11.460330077294199</v>
      </c>
      <c r="J94" s="219">
        <v>20.216427242318847</v>
      </c>
      <c r="K94" s="253">
        <v>19.654303071608005</v>
      </c>
      <c r="L94" s="177"/>
      <c r="M94" s="58"/>
    </row>
    <row r="95" spans="2:13" ht="9.75">
      <c r="B95" s="120" t="s">
        <v>125</v>
      </c>
      <c r="C95" s="220">
        <v>797.43821127</v>
      </c>
      <c r="D95" s="220">
        <v>882.0477020199999</v>
      </c>
      <c r="E95" s="220">
        <v>928.20027289</v>
      </c>
      <c r="F95" s="220">
        <v>46.15257087000009</v>
      </c>
      <c r="G95" s="220">
        <v>130.76206161999994</v>
      </c>
      <c r="H95" s="221">
        <v>5.232434795114246</v>
      </c>
      <c r="I95" s="221">
        <v>5.862044762380255</v>
      </c>
      <c r="J95" s="221">
        <v>20.615290349818853</v>
      </c>
      <c r="K95" s="254">
        <v>16.39776722158176</v>
      </c>
      <c r="L95" s="177"/>
      <c r="M95" s="58"/>
    </row>
    <row r="96" spans="2:13" ht="9.75">
      <c r="B96" s="120" t="s">
        <v>78</v>
      </c>
      <c r="C96" s="220">
        <v>14029.635651230004</v>
      </c>
      <c r="D96" s="220">
        <v>16645.35352829276</v>
      </c>
      <c r="E96" s="220">
        <v>16362.149409032758</v>
      </c>
      <c r="F96" s="220">
        <v>-283.2041192600009</v>
      </c>
      <c r="G96" s="220">
        <v>2332.5137578027534</v>
      </c>
      <c r="H96" s="221">
        <v>-1.7014004465488088</v>
      </c>
      <c r="I96" s="221">
        <v>6.788757975166799</v>
      </c>
      <c r="J96" s="221">
        <v>19.605891913911215</v>
      </c>
      <c r="K96" s="254">
        <v>16.625618909770175</v>
      </c>
      <c r="L96" s="177"/>
      <c r="M96" s="58"/>
    </row>
    <row r="97" spans="2:13" ht="9.75">
      <c r="B97" s="120" t="s">
        <v>79</v>
      </c>
      <c r="C97" s="220">
        <v>7756.662155057</v>
      </c>
      <c r="D97" s="220">
        <v>10184.02568739</v>
      </c>
      <c r="E97" s="220">
        <v>9735.25410492</v>
      </c>
      <c r="F97" s="220">
        <v>-448.771582469999</v>
      </c>
      <c r="G97" s="220">
        <v>1978.591949863001</v>
      </c>
      <c r="H97" s="221">
        <v>-4.40662264850406</v>
      </c>
      <c r="I97" s="221">
        <v>19.34219357889492</v>
      </c>
      <c r="J97" s="221">
        <v>21.231555918336035</v>
      </c>
      <c r="K97" s="254">
        <v>25.508290941523693</v>
      </c>
      <c r="L97" s="177"/>
      <c r="M97" s="58"/>
    </row>
    <row r="98" spans="2:13" ht="9.75">
      <c r="B98" s="120" t="s">
        <v>124</v>
      </c>
      <c r="C98" s="220">
        <v>5.94775818</v>
      </c>
      <c r="D98" s="220">
        <v>3.924901095460822</v>
      </c>
      <c r="E98" s="220">
        <v>3.924901095460822</v>
      </c>
      <c r="F98" s="220">
        <v>0</v>
      </c>
      <c r="G98" s="220">
        <v>-2.022857084539178</v>
      </c>
      <c r="H98" s="221">
        <v>0</v>
      </c>
      <c r="I98" s="221">
        <v>0.7087357683330799</v>
      </c>
      <c r="J98" s="221">
        <v>-34.010412382622754</v>
      </c>
      <c r="K98" s="254">
        <v>-34.010412382622754</v>
      </c>
      <c r="L98" s="177"/>
      <c r="M98" s="58"/>
    </row>
    <row r="99" spans="2:14" ht="9.75">
      <c r="B99" s="117" t="s">
        <v>80</v>
      </c>
      <c r="C99" s="220">
        <v>13355.483746840275</v>
      </c>
      <c r="D99" s="220">
        <v>15049.62105854505</v>
      </c>
      <c r="E99" s="220">
        <v>16526.660800841637</v>
      </c>
      <c r="F99" s="220">
        <v>1477.039742296587</v>
      </c>
      <c r="G99" s="220">
        <v>3171.177054001362</v>
      </c>
      <c r="H99" s="221">
        <v>9.814464673566887</v>
      </c>
      <c r="I99" s="221">
        <v>32.55044069006402</v>
      </c>
      <c r="J99" s="221">
        <v>15.255600890410928</v>
      </c>
      <c r="K99" s="254">
        <v>23.744381814336148</v>
      </c>
      <c r="L99" s="57"/>
      <c r="M99" s="57"/>
      <c r="N99" s="56"/>
    </row>
    <row r="100" spans="2:13" ht="10.5" thickBot="1">
      <c r="B100" s="178"/>
      <c r="C100" s="228"/>
      <c r="D100" s="228"/>
      <c r="E100" s="228"/>
      <c r="F100" s="229"/>
      <c r="G100" s="229"/>
      <c r="H100" s="230"/>
      <c r="I100" s="230"/>
      <c r="J100" s="230"/>
      <c r="K100" s="255"/>
      <c r="L100" s="177"/>
      <c r="M100" s="58"/>
    </row>
    <row r="101" spans="2:11" ht="12" customHeight="1" hidden="1" thickBot="1">
      <c r="B101" s="40" t="s">
        <v>81</v>
      </c>
      <c r="C101" s="222">
        <v>-0.02241342821798753</v>
      </c>
      <c r="D101" s="222">
        <v>-0.04190398721402744</v>
      </c>
      <c r="E101" s="222">
        <v>-0.017016961370245554</v>
      </c>
      <c r="F101" s="222">
        <v>0.024887025843781885</v>
      </c>
      <c r="G101" s="222">
        <v>0.005396466847741976</v>
      </c>
      <c r="H101" s="222">
        <v>6.314336995538739E-05</v>
      </c>
      <c r="I101" s="222">
        <v>-0.00017943695699784712</v>
      </c>
      <c r="J101" s="222">
        <v>-0.00017625866459880513</v>
      </c>
      <c r="K101" s="222">
        <v>2.6387598804689105E-05</v>
      </c>
    </row>
    <row r="102" spans="2:11" ht="9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</sheetData>
  <sheetProtection/>
  <mergeCells count="12"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  <mergeCell ref="I4:K4"/>
    <mergeCell ref="I32:K32"/>
  </mergeCells>
  <printOptions/>
  <pageMargins left="0.75" right="0.75" top="1" bottom="1" header="0.5" footer="0.5"/>
  <pageSetup fitToHeight="2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2008-05-07T06:28:36Z</cp:lastPrinted>
  <dcterms:created xsi:type="dcterms:W3CDTF">1999-07-02T10:21:54Z</dcterms:created>
  <dcterms:modified xsi:type="dcterms:W3CDTF">2008-05-07T06:43:48Z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