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0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'[3]table ii.6'!$D$6:$D$70</definedName>
    <definedName name="__123Graph_B" hidden="1">'[3]table ii.6'!$E$6:$E$70</definedName>
    <definedName name="__123Graph_C" hidden="1">'[3]table ii.6'!$F$6:$F$70</definedName>
    <definedName name="__123Graph_D" hidden="1">'[3]table ii.6'!$G$6:$G$70</definedName>
    <definedName name="__123Graph_E" hidden="1">'[3]table ii.6'!$H$6:$H$70</definedName>
    <definedName name="__123Graph_F" hidden="1">'[3]table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<sst xmlns="http://schemas.openxmlformats.org/spreadsheetml/2006/main" count="228" uniqueCount="168">
  <si>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</si>
  <si>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</si>
  <si>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</si>
  <si>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</si>
  <si>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</si>
  <si>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</si>
  <si>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</si>
  <si>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</si>
  <si>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</si>
  <si>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</si>
  <si>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</si>
  <si>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</si>
  <si>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</si>
  <si>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</si>
  <si>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</si>
  <si>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</si>
  <si>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</si>
  <si>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</si>
  <si>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</si>
  <si>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</si>
  <si>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</si>
  <si>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</si>
  <si>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</si>
  <si>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</si>
  <si>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</si>
  <si>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</si>
  <si>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</si>
  <si>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</si>
  <si>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</si>
  <si>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</si>
  <si>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</si>
  <si>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</si>
  <si>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</si>
  <si>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</si>
  <si>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</si>
  <si>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</si>
  <si>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</si>
  <si>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</si>
  <si>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</si>
  <si>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</si>
  <si>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</si>
  <si>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</si>
  <si>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</si>
  <si>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</si>
  <si>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</si>
  <si>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</si>
  <si>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</si>
  <si>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</si>
  <si>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</si>
  <si>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</si>
  <si>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</si>
  <si>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</si>
  <si>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</si>
  <si>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</si>
  <si>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</si>
  <si>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</si>
  <si>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</si>
  <si>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</si>
  <si>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</si>
  <si>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</si>
  <si>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</si>
  <si>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</si>
  <si>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</si>
  <si>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</si>
  <si>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</si>
  <si>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</si>
  <si>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</si>
  <si>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</si>
  <si>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</si>
  <si>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</si>
  <si>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</si>
  <si>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</si>
  <si>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</si>
  <si>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</si>
  <si>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</si>
  <si>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</si>
  <si>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</si>
  <si>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</si>
  <si>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</si>
  <si>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</si>
  <si>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</si>
  <si>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</si>
  <si>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</si>
  <si>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</si>
  <si>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</si>
  <si>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</si>
  <si>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</si>
  <si>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</si>
  <si>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</si>
  <si>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</si>
  <si>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</si>
  <si>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</si>
  <si>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</si>
  <si>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</si>
  <si>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</si>
  <si>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</si>
  <si>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</si>
  <si>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</si>
  <si>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</si>
  <si>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</si>
  <si>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</si>
  <si>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</si>
  <si>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</si>
  <si>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</si>
  <si>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</si>
  <si>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</si>
  <si>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</si>
  <si>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</si>
  <si>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</si>
  <si>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</si>
  <si>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</si>
  <si>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</si>
  <si>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</si>
  <si>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</si>
  <si>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</si>
  <si>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</si>
  <si>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</si>
  <si>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</si>
  <si>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</si>
  <si>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</si>
  <si>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</si>
  <si>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</si>
  <si>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</si>
  <si>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</si>
  <si>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</si>
  <si>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</si>
  <si>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</si>
  <si>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</si>
  <si>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</si>
  <si>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</si>
  <si>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</si>
  <si>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</si>
  <si>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</si>
  <si>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</si>
  <si>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</si>
  <si>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</si>
  <si>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</si>
  <si>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</si>
  <si>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</si>
  <si>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</si>
  <si>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</si>
  <si>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</si>
  <si>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</si>
  <si>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</si>
  <si>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</si>
  <si>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</si>
  <si>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</si>
  <si>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</si>
  <si>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</si>
  <si>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</si>
  <si>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</si>
  <si>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</si>
  <si>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</si>
  <si>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</si>
  <si>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</si>
  <si>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</si>
  <si>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</si>
  <si>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</si>
  <si>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</si>
  <si>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</si>
  <si>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</si>
  <si>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</si>
  <si>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</si>
  <si>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</si>
  <si>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</si>
  <si>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</si>
  <si>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</si>
  <si>
    <t>*  The consumer price inflation is based on the NCPI (nation wide CPI)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</si>
</sst>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2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1.75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8.5"/>
      <color indexed="8"/>
      <name val="Arial"/>
      <family val="2"/>
    </font>
    <font>
      <sz val="12.75"/>
      <name val="Arial"/>
      <family val="2"/>
    </font>
    <font>
      <sz val="12.5"/>
      <name val="Arial"/>
      <family val="2"/>
    </font>
    <font>
      <sz val="17.75"/>
      <name val="Arial"/>
      <family val="0"/>
    </font>
    <font>
      <b/>
      <sz val="9.5"/>
      <color indexed="37"/>
      <name val="Arial"/>
      <family val="2"/>
    </font>
    <font>
      <sz val="9.5"/>
      <name val="Arial"/>
      <family val="2"/>
    </font>
    <font>
      <sz val="20"/>
      <name val="Arial"/>
      <family val="0"/>
    </font>
    <font>
      <b/>
      <sz val="10.25"/>
      <color indexed="37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8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6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7" xfId="0" applyNumberFormat="1" applyFont="1" applyFill="1" applyBorder="1" applyAlignment="1">
      <alignment/>
    </xf>
    <xf numFmtId="2" fontId="9" fillId="4" borderId="6" xfId="0" applyNumberFormat="1" applyFont="1" applyFill="1" applyBorder="1" applyAlignment="1">
      <alignment/>
    </xf>
    <xf numFmtId="185" fontId="4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8" xfId="0" applyNumberFormat="1" applyFont="1" applyFill="1" applyBorder="1" applyAlignment="1">
      <alignment/>
    </xf>
    <xf numFmtId="17" fontId="4" fillId="5" borderId="8" xfId="0" applyNumberFormat="1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11" xfId="0" applyFont="1" applyFill="1" applyBorder="1" applyAlignment="1">
      <alignment/>
    </xf>
    <xf numFmtId="185" fontId="26" fillId="4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8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6" xfId="15" applyNumberFormat="1" applyFont="1" applyFill="1" applyBorder="1" applyAlignment="1">
      <alignment horizontal="right"/>
    </xf>
    <xf numFmtId="178" fontId="9" fillId="4" borderId="6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11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11" xfId="28" applyNumberFormat="1" applyFont="1" applyFill="1" applyBorder="1" applyAlignment="1">
      <alignment horizontal="right"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7" xfId="0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37" fillId="0" borderId="6" xfId="0" applyFont="1" applyBorder="1" applyAlignment="1">
      <alignment horizontal="center"/>
    </xf>
    <xf numFmtId="0" fontId="39" fillId="3" borderId="6" xfId="0" applyFont="1" applyFill="1" applyBorder="1" applyAlignment="1">
      <alignment/>
    </xf>
    <xf numFmtId="0" fontId="37" fillId="0" borderId="6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6" xfId="0" applyNumberFormat="1" applyFont="1" applyBorder="1" applyAlignment="1">
      <alignment/>
    </xf>
    <xf numFmtId="0" fontId="40" fillId="2" borderId="6" xfId="0" applyFont="1" applyFill="1" applyBorder="1" applyAlignment="1">
      <alignment horizontal="center"/>
    </xf>
    <xf numFmtId="17" fontId="40" fillId="2" borderId="6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 horizontal="center"/>
    </xf>
    <xf numFmtId="0" fontId="37" fillId="4" borderId="6" xfId="0" applyFont="1" applyFill="1" applyBorder="1" applyAlignment="1">
      <alignment horizontal="center"/>
    </xf>
    <xf numFmtId="0" fontId="39" fillId="4" borderId="6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6" xfId="0" applyFont="1" applyFill="1" applyBorder="1" applyAlignment="1">
      <alignment/>
    </xf>
    <xf numFmtId="17" fontId="40" fillId="4" borderId="6" xfId="0" applyNumberFormat="1" applyFont="1" applyFill="1" applyBorder="1" applyAlignment="1">
      <alignment horizontal="center"/>
    </xf>
    <xf numFmtId="185" fontId="39" fillId="4" borderId="6" xfId="0" applyNumberFormat="1" applyFont="1" applyFill="1" applyBorder="1" applyAlignment="1">
      <alignment horizontal="center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6" xfId="0" applyNumberFormat="1" applyFont="1" applyFill="1" applyBorder="1" applyAlignment="1">
      <alignment/>
    </xf>
    <xf numFmtId="178" fontId="39" fillId="4" borderId="6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6" xfId="0" applyFont="1" applyFill="1" applyBorder="1" applyAlignment="1">
      <alignment horizontal="right"/>
    </xf>
    <xf numFmtId="182" fontId="39" fillId="4" borderId="6" xfId="0" applyNumberFormat="1" applyFont="1" applyFill="1" applyBorder="1" applyAlignment="1">
      <alignment/>
    </xf>
    <xf numFmtId="182" fontId="39" fillId="4" borderId="6" xfId="0" applyNumberFormat="1" applyFont="1" applyFill="1" applyBorder="1" applyAlignment="1">
      <alignment horizontal="center"/>
    </xf>
    <xf numFmtId="182" fontId="39" fillId="4" borderId="6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6" xfId="0" applyFont="1" applyFill="1" applyBorder="1" applyAlignment="1">
      <alignment horizontal="center"/>
    </xf>
    <xf numFmtId="0" fontId="41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37" fillId="3" borderId="6" xfId="0" applyFont="1" applyFill="1" applyBorder="1" applyAlignment="1">
      <alignment/>
    </xf>
    <xf numFmtId="0" fontId="42" fillId="0" borderId="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11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0" fontId="48" fillId="0" borderId="0" xfId="0" applyFont="1" applyAlignment="1">
      <alignment/>
    </xf>
    <xf numFmtId="0" fontId="4" fillId="6" borderId="11" xfId="0" applyFont="1" applyFill="1" applyBorder="1" applyAlignment="1">
      <alignment horizontal="left" indent="3"/>
    </xf>
    <xf numFmtId="0" fontId="27" fillId="4" borderId="11" xfId="0" applyFont="1" applyFill="1" applyBorder="1" applyAlignment="1">
      <alignment horizontal="left" indent="1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46" fontId="30" fillId="2" borderId="16" xfId="0" applyNumberFormat="1" applyFont="1" applyFill="1" applyBorder="1" applyAlignment="1">
      <alignment horizontal="right"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 applyAlignment="1">
      <alignment horizontal="right"/>
      <protection/>
    </xf>
    <xf numFmtId="178" fontId="4" fillId="4" borderId="11" xfId="28" applyNumberFormat="1" applyFont="1" applyFill="1" applyBorder="1">
      <alignment/>
      <protection/>
    </xf>
    <xf numFmtId="185" fontId="4" fillId="5" borderId="11" xfId="28" applyNumberFormat="1" applyFont="1" applyFill="1" applyBorder="1">
      <alignment/>
      <protection/>
    </xf>
    <xf numFmtId="185" fontId="4" fillId="0" borderId="21" xfId="0" applyNumberFormat="1" applyFont="1" applyFill="1" applyBorder="1" applyAlignment="1">
      <alignment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14025"/>
          <c:w val="0.837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'[5]M1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Chart'!$AI$7:$AU$7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'[5]M1 M2 Chart'!$AI$8:$AU$8</c:f>
              <c:numCache>
                <c:ptCount val="13"/>
                <c:pt idx="0">
                  <c:v>1.34119491990188</c:v>
                </c:pt>
                <c:pt idx="1">
                  <c:v>-0.4486893890779177</c:v>
                </c:pt>
                <c:pt idx="2">
                  <c:v>-0.15856097406308428</c:v>
                </c:pt>
                <c:pt idx="3">
                  <c:v>0.874541710785246</c:v>
                </c:pt>
                <c:pt idx="4">
                  <c:v>2.441095632286411</c:v>
                </c:pt>
                <c:pt idx="5">
                  <c:v>7.30664569346007</c:v>
                </c:pt>
                <c:pt idx="6">
                  <c:v>2.018408013252184</c:v>
                </c:pt>
                <c:pt idx="7">
                  <c:v>3.053687786141357</c:v>
                </c:pt>
                <c:pt idx="8">
                  <c:v>4.218696831444213</c:v>
                </c:pt>
                <c:pt idx="9">
                  <c:v>2.064092169580869</c:v>
                </c:pt>
                <c:pt idx="10">
                  <c:v>-1.6380485020217113</c:v>
                </c:pt>
                <c:pt idx="11">
                  <c:v>4.277929218815961</c:v>
                </c:pt>
                <c:pt idx="12">
                  <c:v>3.375699863912038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Chart'!$AI$7:$AU$7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'[5]M1 M2 Chart'!$AI$9:$AU$9</c:f>
              <c:numCache>
                <c:ptCount val="13"/>
                <c:pt idx="0">
                  <c:v>-0.13648173676990139</c:v>
                </c:pt>
                <c:pt idx="1">
                  <c:v>-2.7387206868691725</c:v>
                </c:pt>
                <c:pt idx="2">
                  <c:v>0.599055108398417</c:v>
                </c:pt>
                <c:pt idx="3">
                  <c:v>3.4969366714066834</c:v>
                </c:pt>
                <c:pt idx="4">
                  <c:v>4.967757419233871</c:v>
                </c:pt>
                <c:pt idx="5">
                  <c:v>9.25840878158208</c:v>
                </c:pt>
                <c:pt idx="6">
                  <c:v>0.06528293651520134</c:v>
                </c:pt>
                <c:pt idx="7">
                  <c:v>4.073994220362538</c:v>
                </c:pt>
                <c:pt idx="8">
                  <c:v>1.5601745047783908</c:v>
                </c:pt>
                <c:pt idx="9">
                  <c:v>3.1219530629032963</c:v>
                </c:pt>
                <c:pt idx="10">
                  <c:v>-1.2778560719822774</c:v>
                </c:pt>
                <c:pt idx="11">
                  <c:v>4.381616536762638</c:v>
                </c:pt>
                <c:pt idx="12">
                  <c:v>11.541825685977763</c:v>
                </c:pt>
              </c:numCache>
            </c:numRef>
          </c:val>
          <c:smooth val="0"/>
        </c:ser>
        <c:axId val="13445318"/>
        <c:axId val="53898999"/>
      </c:lineChart>
      <c:catAx>
        <c:axId val="1344531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53898999"/>
        <c:crosses val="autoZero"/>
        <c:auto val="1"/>
        <c:lblOffset val="100"/>
        <c:noMultiLvlLbl val="0"/>
      </c:catAx>
      <c:valAx>
        <c:axId val="5389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13445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39"/>
          <c:w val="0.5217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65"/>
          <c:w val="0.92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chart'!$AH$10:$AT$10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'[5] PSC chart'!$AH$11:$AT$11</c:f>
              <c:numCache>
                <c:ptCount val="13"/>
                <c:pt idx="0">
                  <c:v>-0.7710777670767199</c:v>
                </c:pt>
                <c:pt idx="1">
                  <c:v>2.6341312087753592</c:v>
                </c:pt>
                <c:pt idx="2">
                  <c:v>6.692637054627848</c:v>
                </c:pt>
                <c:pt idx="3">
                  <c:v>-5.585811702912533</c:v>
                </c:pt>
                <c:pt idx="4">
                  <c:v>2.854429245382314</c:v>
                </c:pt>
                <c:pt idx="5">
                  <c:v>0.8100890367547707</c:v>
                </c:pt>
                <c:pt idx="6">
                  <c:v>-2.739376001603576</c:v>
                </c:pt>
                <c:pt idx="7">
                  <c:v>4.374669762710496</c:v>
                </c:pt>
                <c:pt idx="8">
                  <c:v>2.6579112339420976</c:v>
                </c:pt>
                <c:pt idx="9">
                  <c:v>-1.7217054446794489</c:v>
                </c:pt>
                <c:pt idx="10">
                  <c:v>2.56009021400702</c:v>
                </c:pt>
                <c:pt idx="11">
                  <c:v>0.20969565247536456</c:v>
                </c:pt>
                <c:pt idx="12">
                  <c:v>-1.5314771320431253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chart'!$AH$10:$AT$10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'[5] PSC chart'!$AH$12:$AT$12</c:f>
              <c:numCache>
                <c:ptCount val="13"/>
                <c:pt idx="0">
                  <c:v>1.2024642589187624</c:v>
                </c:pt>
                <c:pt idx="1">
                  <c:v>2.0815416347880524</c:v>
                </c:pt>
                <c:pt idx="2">
                  <c:v>5.581722051509344</c:v>
                </c:pt>
                <c:pt idx="3">
                  <c:v>-3.188096393159089</c:v>
                </c:pt>
                <c:pt idx="4">
                  <c:v>2.882356604278192</c:v>
                </c:pt>
                <c:pt idx="5">
                  <c:v>-0.23208471129762012</c:v>
                </c:pt>
                <c:pt idx="6">
                  <c:v>1.9381062631188901</c:v>
                </c:pt>
                <c:pt idx="7">
                  <c:v>1.673006597960738</c:v>
                </c:pt>
                <c:pt idx="8">
                  <c:v>0.5301595046702494</c:v>
                </c:pt>
                <c:pt idx="9">
                  <c:v>2.723141408263861</c:v>
                </c:pt>
                <c:pt idx="10">
                  <c:v>0.25593587875896684</c:v>
                </c:pt>
                <c:pt idx="11">
                  <c:v>0.057520487008683195</c:v>
                </c:pt>
                <c:pt idx="12">
                  <c:v>1.4821953880777343</c:v>
                </c:pt>
              </c:numCache>
            </c:numRef>
          </c:val>
          <c:smooth val="0"/>
        </c:ser>
        <c:axId val="15328944"/>
        <c:axId val="3742769"/>
      </c:lineChart>
      <c:catAx>
        <c:axId val="153289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3742769"/>
        <c:crosses val="autoZero"/>
        <c:auto val="1"/>
        <c:lblOffset val="100"/>
        <c:noMultiLvlLbl val="0"/>
      </c:catAx>
      <c:valAx>
        <c:axId val="3742769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800000"/>
                </a:solidFill>
              </a:defRPr>
            </a:pPr>
          </a:p>
        </c:txPr>
        <c:crossAx val="1532894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23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67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-NCPI'!$B$14:$B$26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'[4]Inflation CPIX -NCPI'!$C$14:$C$26</c:f>
              <c:numCache>
                <c:ptCount val="13"/>
                <c:pt idx="0">
                  <c:v>4.4</c:v>
                </c:pt>
                <c:pt idx="1">
                  <c:v>3.7</c:v>
                </c:pt>
                <c:pt idx="2">
                  <c:v>4</c:v>
                </c:pt>
                <c:pt idx="3">
                  <c:v>4.3</c:v>
                </c:pt>
                <c:pt idx="4">
                  <c:v>4.5</c:v>
                </c:pt>
                <c:pt idx="5">
                  <c:v>3.8</c:v>
                </c:pt>
                <c:pt idx="6">
                  <c:v>3.7</c:v>
                </c:pt>
                <c:pt idx="7">
                  <c:v>4.1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-NCPI'!$B$14:$B$26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'[4]Inflation CPIX -NCPI'!$D$14:$D$26</c:f>
              <c:numCache>
                <c:ptCount val="13"/>
                <c:pt idx="0">
                  <c:v>2.9</c:v>
                </c:pt>
                <c:pt idx="1">
                  <c:v>3.4</c:v>
                </c:pt>
                <c:pt idx="2">
                  <c:v>3.4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4.4</c:v>
                </c:pt>
                <c:pt idx="7">
                  <c:v>5.1</c:v>
                </c:pt>
                <c:pt idx="8">
                  <c:v>5.3</c:v>
                </c:pt>
                <c:pt idx="9">
                  <c:v>5.1</c:v>
                </c:pt>
                <c:pt idx="10">
                  <c:v>5.4</c:v>
                </c:pt>
                <c:pt idx="11">
                  <c:v>5.5</c:v>
                </c:pt>
                <c:pt idx="12">
                  <c:v>5.8</c:v>
                </c:pt>
              </c:numCache>
            </c:numRef>
          </c:val>
          <c:smooth val="0"/>
        </c:ser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3684922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23"/>
          <c:w val="0.52325"/>
          <c:h val="0.051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9425"/>
          <c:w val="0.888"/>
          <c:h val="0.590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'[2]Data'!$D$186:$D$198</c:f>
              <c:numCache>
                <c:ptCount val="13"/>
                <c:pt idx="0">
                  <c:v>38627</c:v>
                </c:pt>
                <c:pt idx="1">
                  <c:v>38658</c:v>
                </c:pt>
                <c:pt idx="2">
                  <c:v>38688</c:v>
                </c:pt>
                <c:pt idx="3">
                  <c:v>38719</c:v>
                </c:pt>
                <c:pt idx="4">
                  <c:v>38750</c:v>
                </c:pt>
                <c:pt idx="5">
                  <c:v>38778</c:v>
                </c:pt>
                <c:pt idx="6">
                  <c:v>38809</c:v>
                </c:pt>
                <c:pt idx="7">
                  <c:v>38839</c:v>
                </c:pt>
                <c:pt idx="8">
                  <c:v>38870</c:v>
                </c:pt>
                <c:pt idx="9">
                  <c:v>38900</c:v>
                </c:pt>
                <c:pt idx="10">
                  <c:v>38931</c:v>
                </c:pt>
                <c:pt idx="11">
                  <c:v>38962</c:v>
                </c:pt>
                <c:pt idx="12">
                  <c:v>38992</c:v>
                </c:pt>
              </c:numCache>
            </c:numRef>
          </c:cat>
          <c:val>
            <c:numRef>
              <c:f>'[2]Data'!$F$186:$F$198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7.5</c:v>
                </c:pt>
                <c:pt idx="9">
                  <c:v>7.5</c:v>
                </c:pt>
                <c:pt idx="10">
                  <c:v>8</c:v>
                </c:pt>
                <c:pt idx="11">
                  <c:v>8</c:v>
                </c:pt>
                <c:pt idx="12">
                  <c:v>8.5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'[2]Data'!$D$186:$D$198</c:f>
              <c:numCache>
                <c:ptCount val="13"/>
                <c:pt idx="0">
                  <c:v>38627</c:v>
                </c:pt>
                <c:pt idx="1">
                  <c:v>38658</c:v>
                </c:pt>
                <c:pt idx="2">
                  <c:v>38688</c:v>
                </c:pt>
                <c:pt idx="3">
                  <c:v>38719</c:v>
                </c:pt>
                <c:pt idx="4">
                  <c:v>38750</c:v>
                </c:pt>
                <c:pt idx="5">
                  <c:v>38778</c:v>
                </c:pt>
                <c:pt idx="6">
                  <c:v>38809</c:v>
                </c:pt>
                <c:pt idx="7">
                  <c:v>38839</c:v>
                </c:pt>
                <c:pt idx="8">
                  <c:v>38870</c:v>
                </c:pt>
                <c:pt idx="9">
                  <c:v>38900</c:v>
                </c:pt>
                <c:pt idx="10">
                  <c:v>38931</c:v>
                </c:pt>
                <c:pt idx="11">
                  <c:v>38962</c:v>
                </c:pt>
                <c:pt idx="12">
                  <c:v>38992</c:v>
                </c:pt>
              </c:numCache>
            </c:numRef>
          </c:cat>
          <c:val>
            <c:numRef>
              <c:f>'[2]Data'!$K$186:$K$198</c:f>
              <c:numCache>
                <c:ptCount val="13"/>
                <c:pt idx="0">
                  <c:v>5.98</c:v>
                </c:pt>
                <c:pt idx="1">
                  <c:v>6.02</c:v>
                </c:pt>
                <c:pt idx="2">
                  <c:v>5.99</c:v>
                </c:pt>
                <c:pt idx="3">
                  <c:v>6.09</c:v>
                </c:pt>
                <c:pt idx="4">
                  <c:v>6.1</c:v>
                </c:pt>
                <c:pt idx="5">
                  <c:v>6.11</c:v>
                </c:pt>
                <c:pt idx="6">
                  <c:v>6.31</c:v>
                </c:pt>
                <c:pt idx="7">
                  <c:v>6.13</c:v>
                </c:pt>
                <c:pt idx="8">
                  <c:v>6.24</c:v>
                </c:pt>
                <c:pt idx="9">
                  <c:v>6.18</c:v>
                </c:pt>
                <c:pt idx="10">
                  <c:v>6.34</c:v>
                </c:pt>
                <c:pt idx="11">
                  <c:v>6.22</c:v>
                </c:pt>
                <c:pt idx="12">
                  <c:v>6.37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'[2]Data'!$D$186:$D$198</c:f>
              <c:numCache>
                <c:ptCount val="13"/>
                <c:pt idx="0">
                  <c:v>38627</c:v>
                </c:pt>
                <c:pt idx="1">
                  <c:v>38658</c:v>
                </c:pt>
                <c:pt idx="2">
                  <c:v>38688</c:v>
                </c:pt>
                <c:pt idx="3">
                  <c:v>38719</c:v>
                </c:pt>
                <c:pt idx="4">
                  <c:v>38750</c:v>
                </c:pt>
                <c:pt idx="5">
                  <c:v>38778</c:v>
                </c:pt>
                <c:pt idx="6">
                  <c:v>38809</c:v>
                </c:pt>
                <c:pt idx="7">
                  <c:v>38839</c:v>
                </c:pt>
                <c:pt idx="8">
                  <c:v>38870</c:v>
                </c:pt>
                <c:pt idx="9">
                  <c:v>38900</c:v>
                </c:pt>
                <c:pt idx="10">
                  <c:v>38931</c:v>
                </c:pt>
                <c:pt idx="11">
                  <c:v>38962</c:v>
                </c:pt>
                <c:pt idx="12">
                  <c:v>38992</c:v>
                </c:pt>
              </c:numCache>
            </c:numRef>
          </c:cat>
          <c:val>
            <c:numRef>
              <c:f>'[2]Data'!$L$186:$L$198</c:f>
              <c:numCache>
                <c:ptCount val="13"/>
                <c:pt idx="0">
                  <c:v>10.55</c:v>
                </c:pt>
                <c:pt idx="1">
                  <c:v>10.54</c:v>
                </c:pt>
                <c:pt idx="2">
                  <c:v>10.78</c:v>
                </c:pt>
                <c:pt idx="3">
                  <c:v>10.46</c:v>
                </c:pt>
                <c:pt idx="4">
                  <c:v>10.69</c:v>
                </c:pt>
                <c:pt idx="5">
                  <c:v>10.78</c:v>
                </c:pt>
                <c:pt idx="6">
                  <c:v>10.58</c:v>
                </c:pt>
                <c:pt idx="7">
                  <c:v>10.8</c:v>
                </c:pt>
                <c:pt idx="8">
                  <c:v>10.61</c:v>
                </c:pt>
                <c:pt idx="9">
                  <c:v>10.93</c:v>
                </c:pt>
                <c:pt idx="10">
                  <c:v>11.01</c:v>
                </c:pt>
                <c:pt idx="11">
                  <c:v>11.71</c:v>
                </c:pt>
                <c:pt idx="12">
                  <c:v>11.97</c:v>
                </c:pt>
              </c:numCache>
            </c:numRef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275" b="0" i="0" u="none" baseline="0">
                <a:solidFill>
                  <a:srgbClr val="800000"/>
                </a:solidFill>
              </a:defRPr>
            </a:pPr>
          </a:p>
        </c:txPr>
        <c:crossAx val="61572869"/>
        <c:crossesAt val="0"/>
        <c:auto val="1"/>
        <c:lblOffset val="100"/>
        <c:noMultiLvlLbl val="0"/>
      </c:catAx>
      <c:valAx>
        <c:axId val="6157286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1241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08"/>
          <c:y val="0.72"/>
          <c:w val="0.6485"/>
          <c:h val="0.08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175"/>
          <c:w val="0.90825"/>
          <c:h val="0.87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'[1]Monthly indices'!$B$120:$B$132</c:f>
              <c:numCache>
                <c:ptCount val="13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'[1]Monthly indices'!$C$120:$C$132</c:f>
              <c:numCache>
                <c:ptCount val="13"/>
                <c:pt idx="0">
                  <c:v>520.07</c:v>
                </c:pt>
                <c:pt idx="1">
                  <c:v>536.25</c:v>
                </c:pt>
                <c:pt idx="2">
                  <c:v>581.68</c:v>
                </c:pt>
                <c:pt idx="3">
                  <c:v>633</c:v>
                </c:pt>
                <c:pt idx="4">
                  <c:v>621.84</c:v>
                </c:pt>
                <c:pt idx="5">
                  <c:v>622</c:v>
                </c:pt>
                <c:pt idx="6">
                  <c:v>655</c:v>
                </c:pt>
                <c:pt idx="7">
                  <c:v>682</c:v>
                </c:pt>
                <c:pt idx="8">
                  <c:v>665.85</c:v>
                </c:pt>
                <c:pt idx="9">
                  <c:v>688.72</c:v>
                </c:pt>
                <c:pt idx="10">
                  <c:v>727.36</c:v>
                </c:pt>
                <c:pt idx="11">
                  <c:v>727.36</c:v>
                </c:pt>
                <c:pt idx="12">
                  <c:v>790.35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17284910"/>
        <c:axId val="21346463"/>
      </c:lineChart>
      <c:lineChart>
        <c:grouping val="standard"/>
        <c:varyColors val="0"/>
        <c:ser>
          <c:idx val="1"/>
          <c:order val="1"/>
          <c:tx>
            <c:strRef>
              <c:f>'[1]Monthly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'[1]Monthly indices'!$D$120:$D$132</c:f>
              <c:numCache>
                <c:ptCount val="13"/>
                <c:pt idx="0">
                  <c:v>65.04</c:v>
                </c:pt>
                <c:pt idx="1">
                  <c:v>69.98</c:v>
                </c:pt>
                <c:pt idx="2">
                  <c:v>71.74</c:v>
                </c:pt>
                <c:pt idx="3">
                  <c:v>74</c:v>
                </c:pt>
                <c:pt idx="4">
                  <c:v>77.02</c:v>
                </c:pt>
                <c:pt idx="5">
                  <c:v>77.02</c:v>
                </c:pt>
                <c:pt idx="6">
                  <c:v>79</c:v>
                </c:pt>
                <c:pt idx="7">
                  <c:v>79</c:v>
                </c:pt>
                <c:pt idx="8">
                  <c:v>80.95</c:v>
                </c:pt>
                <c:pt idx="9">
                  <c:v>83.73</c:v>
                </c:pt>
                <c:pt idx="10">
                  <c:v>82.05</c:v>
                </c:pt>
                <c:pt idx="11">
                  <c:v>82.05</c:v>
                </c:pt>
                <c:pt idx="12">
                  <c:v>86.01</c:v>
                </c:pt>
              </c:numCache>
            </c:numRef>
          </c:val>
          <c:smooth val="0"/>
        </c:ser>
        <c:axId val="57900440"/>
        <c:axId val="51341913"/>
      </c:lineChart>
      <c:catAx>
        <c:axId val="17284910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17284910"/>
        <c:crossesAt val="1"/>
        <c:crossBetween val="between"/>
        <c:dispUnits/>
      </c:valAx>
      <c:catAx>
        <c:axId val="57900440"/>
        <c:scaling>
          <c:orientation val="minMax"/>
        </c:scaling>
        <c:axPos val="b"/>
        <c:delete val="1"/>
        <c:majorTickMark val="cross"/>
        <c:minorTickMark val="none"/>
        <c:tickLblPos val="nextTo"/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579004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"/>
          <c:y val="0.91925"/>
          <c:w val="0.5475"/>
          <c:h val="0.053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125"/>
          <c:w val="0.9522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'S5'!$AI$4:$AU$4</c:f>
              <c:strCache>
                <c:ptCount val="13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strCache>
            </c:strRef>
          </c:cat>
          <c:val>
            <c:numRef>
              <c:f>'S5'!$AI$13:$AU$13</c:f>
              <c:numCache>
                <c:ptCount val="13"/>
                <c:pt idx="0">
                  <c:v>0.15205425295745523</c:v>
                </c:pt>
                <c:pt idx="1">
                  <c:v>0.15335071308081583</c:v>
                </c:pt>
                <c:pt idx="2">
                  <c:v>0.157254957462534</c:v>
                </c:pt>
                <c:pt idx="3">
                  <c:v>0.1642278826099095</c:v>
                </c:pt>
                <c:pt idx="4">
                  <c:v>0.16346012390277392</c:v>
                </c:pt>
                <c:pt idx="5">
                  <c:v>0.15988743924277307</c:v>
                </c:pt>
                <c:pt idx="6">
                  <c:v>0.16469038208168643</c:v>
                </c:pt>
                <c:pt idx="7">
                  <c:v>0.15823035174607195</c:v>
                </c:pt>
                <c:pt idx="8">
                  <c:v>0.14378351953299112</c:v>
                </c:pt>
                <c:pt idx="9">
                  <c:v>0.14115720678119223</c:v>
                </c:pt>
                <c:pt idx="10">
                  <c:v>0.14377525052837403</c:v>
                </c:pt>
                <c:pt idx="11">
                  <c:v>0.1349564090798672</c:v>
                </c:pt>
                <c:pt idx="12">
                  <c:v>0.13073262563405322</c:v>
                </c:pt>
              </c:numCache>
            </c:numRef>
          </c:val>
          <c:smooth val="0"/>
        </c:ser>
        <c:marker val="1"/>
        <c:axId val="59424034"/>
        <c:axId val="65054259"/>
      </c:lineChart>
      <c:dateAx>
        <c:axId val="5942403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65054259"/>
        <c:crossesAt val="0.089"/>
        <c:auto val="0"/>
        <c:noMultiLvlLbl val="0"/>
      </c:dateAx>
      <c:valAx>
        <c:axId val="65054259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59424034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875"/>
          <c:w val="0.954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chart'!$AJ$2:$AV$2</c:f>
              <c:numCache>
                <c:ptCount val="13"/>
                <c:pt idx="0">
                  <c:v>38656</c:v>
                </c:pt>
                <c:pt idx="1">
                  <c:v>38686</c:v>
                </c:pt>
                <c:pt idx="2">
                  <c:v>38717</c:v>
                </c:pt>
                <c:pt idx="3">
                  <c:v>38748</c:v>
                </c:pt>
                <c:pt idx="4">
                  <c:v>38776</c:v>
                </c:pt>
                <c:pt idx="5">
                  <c:v>38807</c:v>
                </c:pt>
                <c:pt idx="6">
                  <c:v>38837</c:v>
                </c:pt>
                <c:pt idx="7">
                  <c:v>38868</c:v>
                </c:pt>
                <c:pt idx="8">
                  <c:v>38898</c:v>
                </c:pt>
                <c:pt idx="9">
                  <c:v>38929</c:v>
                </c:pt>
                <c:pt idx="10">
                  <c:v>38960</c:v>
                </c:pt>
                <c:pt idx="11">
                  <c:v>38990</c:v>
                </c:pt>
                <c:pt idx="12">
                  <c:v>39021</c:v>
                </c:pt>
              </c:numCache>
            </c:numRef>
          </c:cat>
          <c:val>
            <c:numRef>
              <c:f>'[5]Int reser chart'!$AJ$3:$AV$3</c:f>
              <c:numCache>
                <c:ptCount val="13"/>
                <c:pt idx="0">
                  <c:v>2244.9941214600003</c:v>
                </c:pt>
                <c:pt idx="1">
                  <c:v>1902.2269241000001</c:v>
                </c:pt>
                <c:pt idx="2">
                  <c:v>1983.9336482200001</c:v>
                </c:pt>
                <c:pt idx="3">
                  <c:v>2705.4959120600006</c:v>
                </c:pt>
                <c:pt idx="4">
                  <c:v>2695.67261662</c:v>
                </c:pt>
                <c:pt idx="5">
                  <c:v>2457.74191965</c:v>
                </c:pt>
                <c:pt idx="6">
                  <c:v>3129.66725862</c:v>
                </c:pt>
                <c:pt idx="7">
                  <c:v>2973.0466378130004</c:v>
                </c:pt>
                <c:pt idx="8">
                  <c:v>2677.9226340200003</c:v>
                </c:pt>
                <c:pt idx="9">
                  <c:v>3313.1347334800002</c:v>
                </c:pt>
                <c:pt idx="10">
                  <c:v>2760.7403289100002</c:v>
                </c:pt>
                <c:pt idx="11">
                  <c:v>3119.24184594</c:v>
                </c:pt>
                <c:pt idx="12">
                  <c:v>4104.408667917</c:v>
                </c:pt>
              </c:numCache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800000"/>
                </a:solidFill>
              </a:defRPr>
            </a:pPr>
          </a:p>
        </c:txPr>
        <c:crossAx val="48617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42925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0</xdr:rowOff>
    </xdr:from>
    <xdr:to>
      <xdr:col>12</xdr:col>
      <xdr:colOff>409575</xdr:colOff>
      <xdr:row>19</xdr:row>
      <xdr:rowOff>133350</xdr:rowOff>
    </xdr:to>
    <xdr:graphicFrame>
      <xdr:nvGraphicFramePr>
        <xdr:cNvPr id="1" name="Chart 112"/>
        <xdr:cNvGraphicFramePr/>
      </xdr:nvGraphicFramePr>
      <xdr:xfrm>
        <a:off x="390525" y="542925"/>
        <a:ext cx="74485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27</xdr:row>
      <xdr:rowOff>142875</xdr:rowOff>
    </xdr:from>
    <xdr:to>
      <xdr:col>12</xdr:col>
      <xdr:colOff>419100</xdr:colOff>
      <xdr:row>48</xdr:row>
      <xdr:rowOff>47625</xdr:rowOff>
    </xdr:to>
    <xdr:graphicFrame>
      <xdr:nvGraphicFramePr>
        <xdr:cNvPr id="2" name="Chart 113"/>
        <xdr:cNvGraphicFramePr/>
      </xdr:nvGraphicFramePr>
      <xdr:xfrm>
        <a:off x="438150" y="4514850"/>
        <a:ext cx="7410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58</xdr:row>
      <xdr:rowOff>85725</xdr:rowOff>
    </xdr:from>
    <xdr:to>
      <xdr:col>13</xdr:col>
      <xdr:colOff>295275</xdr:colOff>
      <xdr:row>77</xdr:row>
      <xdr:rowOff>123825</xdr:rowOff>
    </xdr:to>
    <xdr:graphicFrame>
      <xdr:nvGraphicFramePr>
        <xdr:cNvPr id="1" name="Chart 126"/>
        <xdr:cNvGraphicFramePr/>
      </xdr:nvGraphicFramePr>
      <xdr:xfrm>
        <a:off x="295275" y="11182350"/>
        <a:ext cx="7315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4</xdr:row>
      <xdr:rowOff>104775</xdr:rowOff>
    </xdr:from>
    <xdr:to>
      <xdr:col>13</xdr:col>
      <xdr:colOff>295275</xdr:colOff>
      <xdr:row>24</xdr:row>
      <xdr:rowOff>180975</xdr:rowOff>
    </xdr:to>
    <xdr:graphicFrame>
      <xdr:nvGraphicFramePr>
        <xdr:cNvPr id="2" name="Chart 127"/>
        <xdr:cNvGraphicFramePr/>
      </xdr:nvGraphicFramePr>
      <xdr:xfrm>
        <a:off x="314325" y="857250"/>
        <a:ext cx="72961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30</xdr:row>
      <xdr:rowOff>152400</xdr:rowOff>
    </xdr:from>
    <xdr:to>
      <xdr:col>13</xdr:col>
      <xdr:colOff>257175</xdr:colOff>
      <xdr:row>51</xdr:row>
      <xdr:rowOff>9525</xdr:rowOff>
    </xdr:to>
    <xdr:graphicFrame>
      <xdr:nvGraphicFramePr>
        <xdr:cNvPr id="3" name="Chart 128"/>
        <xdr:cNvGraphicFramePr/>
      </xdr:nvGraphicFramePr>
      <xdr:xfrm>
        <a:off x="161925" y="5895975"/>
        <a:ext cx="74104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104775</xdr:rowOff>
    </xdr:from>
    <xdr:to>
      <xdr:col>14</xdr:col>
      <xdr:colOff>514350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686425"/>
        <a:ext cx="8115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4</xdr:row>
      <xdr:rowOff>114300</xdr:rowOff>
    </xdr:from>
    <xdr:to>
      <xdr:col>14</xdr:col>
      <xdr:colOff>561975</xdr:colOff>
      <xdr:row>31</xdr:row>
      <xdr:rowOff>142875</xdr:rowOff>
    </xdr:to>
    <xdr:graphicFrame>
      <xdr:nvGraphicFramePr>
        <xdr:cNvPr id="2" name="Chart 28"/>
        <xdr:cNvGraphicFramePr/>
      </xdr:nvGraphicFramePr>
      <xdr:xfrm>
        <a:off x="923925" y="800100"/>
        <a:ext cx="81438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727.36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</row>
        <row r="8">
          <cell r="AI8">
            <v>1.34119491990188</v>
          </cell>
          <cell r="AJ8">
            <v>-0.4486893890779177</v>
          </cell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</row>
        <row r="9">
          <cell r="AI9">
            <v>-0.13648173676990139</v>
          </cell>
          <cell r="AJ9">
            <v>-2.7387206868691725</v>
          </cell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</row>
      </sheetData>
      <sheetData sheetId="8">
        <row r="2"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</row>
        <row r="3">
          <cell r="AJ3">
            <v>2244.9941214600003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</row>
      </sheetData>
      <sheetData sheetId="9">
        <row r="10"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</row>
        <row r="11">
          <cell r="B11" t="str">
            <v>Dom claims</v>
          </cell>
          <cell r="AH11">
            <v>-0.7710777670767199</v>
          </cell>
          <cell r="AI11">
            <v>2.6341312087753592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</row>
        <row r="12">
          <cell r="B12" t="str">
            <v>Other Sectors Claims</v>
          </cell>
          <cell r="AH12">
            <v>1.2024642589187624</v>
          </cell>
          <cell r="AI12">
            <v>2.0815416347880524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tabSelected="1" workbookViewId="0" topLeftCell="A21">
      <selection activeCell="A1" sqref="A1:A37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147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6.75">
      <c r="A7" s="35"/>
    </row>
    <row r="8" ht="37.5">
      <c r="A8" s="35"/>
    </row>
    <row r="9" ht="37.5">
      <c r="A9" s="35"/>
    </row>
    <row r="11" ht="40.5">
      <c r="A11" s="36" t="s">
        <v>49</v>
      </c>
    </row>
    <row r="12" ht="40.5">
      <c r="A12" s="36"/>
    </row>
    <row r="13" ht="40.5">
      <c r="A13" s="36"/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/>
    </row>
    <row r="18" ht="40.5">
      <c r="A18" s="36" t="s">
        <v>51</v>
      </c>
    </row>
    <row r="19" ht="40.5">
      <c r="A19" s="36"/>
    </row>
    <row r="20" ht="40.5">
      <c r="A20" s="36"/>
    </row>
    <row r="21" ht="40.5">
      <c r="A21" s="38">
        <v>39021</v>
      </c>
    </row>
    <row r="22" ht="40.5">
      <c r="A22" s="37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workbookViewId="0" topLeftCell="A7">
      <selection activeCell="D49" sqref="D49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4" t="s">
        <v>115</v>
      </c>
      <c r="C2" s="185"/>
      <c r="D2" s="185"/>
      <c r="E2" s="185"/>
      <c r="F2" s="185"/>
    </row>
    <row r="3" spans="2:6" ht="11.25">
      <c r="B3" s="49"/>
      <c r="C3" s="28"/>
      <c r="D3" s="28"/>
      <c r="E3" s="95"/>
      <c r="F3" s="95" t="s">
        <v>111</v>
      </c>
    </row>
    <row r="4" spans="2:6" ht="11.25">
      <c r="B4" s="50"/>
      <c r="C4" s="16">
        <v>38990</v>
      </c>
      <c r="D4" s="16">
        <v>39021</v>
      </c>
      <c r="E4" s="176" t="s">
        <v>46</v>
      </c>
      <c r="F4" s="176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3944.26486974</v>
      </c>
      <c r="D6" s="97">
        <v>5445.819457746999</v>
      </c>
      <c r="E6" s="97">
        <v>1501.5545880069994</v>
      </c>
      <c r="F6" s="97">
        <v>38.06931424729545</v>
      </c>
      <c r="I6" s="91"/>
    </row>
    <row r="7" spans="2:6" ht="11.25">
      <c r="B7" s="51" t="s">
        <v>84</v>
      </c>
      <c r="C7" s="97">
        <v>27940.08102559</v>
      </c>
      <c r="D7" s="97">
        <v>27512.18507400877</v>
      </c>
      <c r="E7" s="100">
        <v>-427.8959515812312</v>
      </c>
      <c r="F7" s="97">
        <v>-1.5314771320431253</v>
      </c>
    </row>
    <row r="8" spans="2:6" ht="11.25">
      <c r="B8" s="53" t="s">
        <v>100</v>
      </c>
      <c r="C8" s="98">
        <v>183.58551917999966</v>
      </c>
      <c r="D8" s="98">
        <v>-678.6052354312337</v>
      </c>
      <c r="E8" s="101">
        <v>-862.1907546112334</v>
      </c>
      <c r="F8" s="98">
        <v>-469.6398487540203</v>
      </c>
    </row>
    <row r="9" spans="2:6" ht="11.25">
      <c r="B9" s="53" t="s">
        <v>52</v>
      </c>
      <c r="C9" s="98">
        <v>27756.49550641</v>
      </c>
      <c r="D9" s="98">
        <v>28190.790309440003</v>
      </c>
      <c r="E9" s="101">
        <v>434.2948030300031</v>
      </c>
      <c r="F9" s="98">
        <v>1.5646600736382892</v>
      </c>
    </row>
    <row r="10" spans="2:6" ht="11.25">
      <c r="B10" s="78" t="s">
        <v>102</v>
      </c>
      <c r="C10" s="98">
        <v>731.942</v>
      </c>
      <c r="D10" s="98">
        <v>759.827</v>
      </c>
      <c r="E10" s="101">
        <v>27.885</v>
      </c>
      <c r="F10" s="98">
        <v>3.8097280932095696</v>
      </c>
    </row>
    <row r="11" spans="2:6" ht="11.25">
      <c r="B11" s="78" t="s">
        <v>103</v>
      </c>
      <c r="C11" s="98">
        <v>31.297</v>
      </c>
      <c r="D11" s="98">
        <v>37.614</v>
      </c>
      <c r="E11" s="101">
        <v>6.316999999999997</v>
      </c>
      <c r="F11" s="98">
        <v>20.18404319902865</v>
      </c>
    </row>
    <row r="12" spans="2:6" ht="11.25">
      <c r="B12" s="78" t="s">
        <v>104</v>
      </c>
      <c r="C12" s="98">
        <v>204.046</v>
      </c>
      <c r="D12" s="98">
        <v>198.355</v>
      </c>
      <c r="E12" s="101">
        <v>-5.690999999999974</v>
      </c>
      <c r="F12" s="98">
        <v>-2.789076972839445</v>
      </c>
    </row>
    <row r="13" spans="2:6" ht="11.25">
      <c r="B13" s="78" t="s">
        <v>105</v>
      </c>
      <c r="C13" s="98">
        <v>9264.81244724</v>
      </c>
      <c r="D13" s="98">
        <v>9499.803859860001</v>
      </c>
      <c r="E13" s="101">
        <v>234.99141262000194</v>
      </c>
      <c r="F13" s="98">
        <v>2.5363860732011494</v>
      </c>
    </row>
    <row r="14" spans="2:9" ht="11.25">
      <c r="B14" s="78" t="s">
        <v>106</v>
      </c>
      <c r="C14" s="98">
        <v>17524.398059170002</v>
      </c>
      <c r="D14" s="98">
        <v>17695.19044958</v>
      </c>
      <c r="E14" s="101">
        <v>170.79239040999892</v>
      </c>
      <c r="F14" s="98">
        <v>0.9745977569861709</v>
      </c>
      <c r="G14" s="88"/>
      <c r="H14" s="88"/>
      <c r="I14" s="91"/>
    </row>
    <row r="15" spans="2:6" ht="11.25">
      <c r="B15" s="51" t="s">
        <v>47</v>
      </c>
      <c r="C15" s="98">
        <v>-10372.386007409452</v>
      </c>
      <c r="D15" s="98">
        <v>-10719.89304387644</v>
      </c>
      <c r="E15" s="101">
        <v>-347.5070364669882</v>
      </c>
      <c r="F15" s="98">
        <v>3.350309525877157</v>
      </c>
    </row>
    <row r="16" spans="2:6" ht="12" thickBot="1">
      <c r="B16" s="54" t="s">
        <v>55</v>
      </c>
      <c r="C16" s="99">
        <v>21511.959887920548</v>
      </c>
      <c r="D16" s="99">
        <v>22238.111487879327</v>
      </c>
      <c r="E16" s="102">
        <v>726.1515999587791</v>
      </c>
      <c r="F16" s="99">
        <v>3.375571559923416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4" t="s">
        <v>116</v>
      </c>
      <c r="C18" s="185"/>
      <c r="D18" s="185"/>
      <c r="E18" s="185"/>
      <c r="F18" s="185"/>
    </row>
    <row r="19" spans="2:6" ht="11.25">
      <c r="B19" s="49"/>
      <c r="C19" s="28"/>
      <c r="D19" s="28"/>
      <c r="E19" s="95"/>
      <c r="F19" s="177" t="s">
        <v>112</v>
      </c>
    </row>
    <row r="20" spans="2:6" ht="11.25">
      <c r="B20" s="50"/>
      <c r="C20" s="16">
        <v>38990</v>
      </c>
      <c r="D20" s="16">
        <v>39021</v>
      </c>
      <c r="E20" s="176" t="s">
        <v>46</v>
      </c>
      <c r="F20" s="176" t="s">
        <v>113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21511.921311880003</v>
      </c>
      <c r="D22" s="97">
        <v>22238.09921033</v>
      </c>
      <c r="E22" s="97">
        <v>726.1778984499979</v>
      </c>
      <c r="F22" s="97">
        <v>3.375699863912038</v>
      </c>
    </row>
    <row r="23" spans="2:7" ht="11.25">
      <c r="B23" s="53" t="s">
        <v>56</v>
      </c>
      <c r="C23" s="98">
        <v>785.6441736700001</v>
      </c>
      <c r="D23" s="98">
        <v>771.96110754</v>
      </c>
      <c r="E23" s="98">
        <v>-13.683066130000157</v>
      </c>
      <c r="F23" s="98">
        <v>-1.7416365561628355</v>
      </c>
      <c r="G23" s="88"/>
    </row>
    <row r="24" spans="2:6" ht="11.25">
      <c r="B24" s="53" t="s">
        <v>57</v>
      </c>
      <c r="C24" s="98">
        <v>12065.229162530002</v>
      </c>
      <c r="D24" s="98">
        <v>13562.13762825</v>
      </c>
      <c r="E24" s="98">
        <v>1496.9084657199983</v>
      </c>
      <c r="F24" s="98">
        <v>12.406796800584814</v>
      </c>
    </row>
    <row r="25" spans="2:6" ht="11.25">
      <c r="B25" s="53" t="s">
        <v>58</v>
      </c>
      <c r="C25" s="98">
        <v>8655.23021856</v>
      </c>
      <c r="D25" s="98">
        <v>7898.139183370001</v>
      </c>
      <c r="E25" s="98">
        <v>-757.0910351899993</v>
      </c>
      <c r="F25" s="98">
        <v>-8.747208520999445</v>
      </c>
    </row>
    <row r="26" spans="2:6" ht="12" thickBot="1">
      <c r="B26" s="174" t="s">
        <v>162</v>
      </c>
      <c r="C26" s="98">
        <v>5.8177571200000004</v>
      </c>
      <c r="D26" s="98">
        <v>5.861291169999999</v>
      </c>
      <c r="E26" s="98">
        <v>0.04353404999999899</v>
      </c>
      <c r="F26" s="98">
        <v>0.7482961062492582</v>
      </c>
    </row>
    <row r="27" spans="2:6" ht="11.25">
      <c r="B27" s="62"/>
      <c r="C27" s="183"/>
      <c r="D27" s="183"/>
      <c r="E27" s="183"/>
      <c r="F27" s="183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4" t="s">
        <v>117</v>
      </c>
      <c r="C30" s="185"/>
      <c r="D30" s="185"/>
      <c r="E30" s="185"/>
      <c r="F30" s="185"/>
    </row>
    <row r="31" spans="2:6" ht="11.25">
      <c r="B31" s="49"/>
      <c r="C31" s="28"/>
      <c r="D31" s="28"/>
      <c r="E31" s="94"/>
      <c r="F31" s="177" t="s">
        <v>111</v>
      </c>
    </row>
    <row r="32" spans="2:6" ht="11.25">
      <c r="B32" s="50"/>
      <c r="C32" s="16">
        <v>38990</v>
      </c>
      <c r="D32" s="16">
        <v>39021</v>
      </c>
      <c r="E32" s="175" t="s">
        <v>46</v>
      </c>
      <c r="F32" s="175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118</v>
      </c>
      <c r="C34" s="178">
        <v>26803.19503342</v>
      </c>
      <c r="D34" s="178">
        <v>27204.836231680005</v>
      </c>
      <c r="E34" s="178">
        <v>401.6411982600048</v>
      </c>
      <c r="F34" s="178">
        <v>1.5454657466899238</v>
      </c>
    </row>
    <row r="35" spans="2:6" ht="11.25">
      <c r="B35" s="164" t="s">
        <v>53</v>
      </c>
      <c r="C35" s="179">
        <v>0</v>
      </c>
      <c r="D35" s="179">
        <v>0</v>
      </c>
      <c r="E35" s="179">
        <v>0</v>
      </c>
      <c r="F35" s="179">
        <v>0</v>
      </c>
    </row>
    <row r="36" spans="2:6" ht="11.25">
      <c r="B36" s="164" t="s">
        <v>59</v>
      </c>
      <c r="C36" s="179">
        <v>9251.595447239999</v>
      </c>
      <c r="D36" s="179">
        <v>9486.634859860002</v>
      </c>
      <c r="E36" s="179">
        <v>235.03941262000262</v>
      </c>
      <c r="F36" s="179">
        <v>2.5405284305867615</v>
      </c>
    </row>
    <row r="37" spans="2:6" ht="11.25">
      <c r="B37" s="60" t="s">
        <v>119</v>
      </c>
      <c r="C37" s="180">
        <v>7201.7444530699995</v>
      </c>
      <c r="D37" s="180">
        <v>7439.26538376</v>
      </c>
      <c r="E37" s="179">
        <v>237.52093069000057</v>
      </c>
      <c r="F37" s="179">
        <v>3.298102733827897</v>
      </c>
    </row>
    <row r="38" spans="2:6" ht="11.25">
      <c r="B38" s="61" t="s">
        <v>120</v>
      </c>
      <c r="C38" s="165">
        <v>1459.151</v>
      </c>
      <c r="D38" s="165">
        <v>1289.231</v>
      </c>
      <c r="E38" s="179">
        <v>-169.92</v>
      </c>
      <c r="F38" s="179">
        <v>-11.645127886010432</v>
      </c>
    </row>
    <row r="39" spans="2:6" ht="11.25">
      <c r="B39" s="61" t="s">
        <v>121</v>
      </c>
      <c r="C39" s="165">
        <v>2062.239466</v>
      </c>
      <c r="D39" s="165">
        <v>2371.83175072</v>
      </c>
      <c r="E39" s="179">
        <v>309.59228471999995</v>
      </c>
      <c r="F39" s="179">
        <v>15.012431379780411</v>
      </c>
    </row>
    <row r="40" spans="2:6" ht="11.25">
      <c r="B40" s="61" t="s">
        <v>122</v>
      </c>
      <c r="C40" s="165">
        <v>3680.3539870699997</v>
      </c>
      <c r="D40" s="165">
        <v>3778.20263304</v>
      </c>
      <c r="E40" s="179">
        <v>97.84864597000023</v>
      </c>
      <c r="F40" s="179">
        <v>2.658674853390921</v>
      </c>
    </row>
    <row r="41" spans="2:6" ht="11.25">
      <c r="B41" s="60" t="s">
        <v>123</v>
      </c>
      <c r="C41" s="165">
        <v>1299.5594509999999</v>
      </c>
      <c r="D41" s="165">
        <v>1307.6746634200001</v>
      </c>
      <c r="E41" s="179">
        <v>8.115212420000262</v>
      </c>
      <c r="F41" s="179">
        <v>0.6244587282063684</v>
      </c>
    </row>
    <row r="42" spans="2:6" ht="11.25">
      <c r="B42" s="60" t="s">
        <v>124</v>
      </c>
      <c r="C42" s="165">
        <v>40.75654317</v>
      </c>
      <c r="D42" s="165">
        <v>40.96781268</v>
      </c>
      <c r="E42" s="179">
        <v>0.21126951000000105</v>
      </c>
      <c r="F42" s="179">
        <v>0.5183695514086482</v>
      </c>
    </row>
    <row r="43" spans="2:7" ht="11.25">
      <c r="B43" s="60" t="s">
        <v>125</v>
      </c>
      <c r="C43" s="165">
        <v>709.535</v>
      </c>
      <c r="D43" s="165">
        <v>698.727</v>
      </c>
      <c r="E43" s="179">
        <v>-10.807999999999993</v>
      </c>
      <c r="F43" s="179">
        <v>-1.5232511433544493</v>
      </c>
      <c r="G43" s="82"/>
    </row>
    <row r="44" spans="2:8" ht="11.25">
      <c r="B44" s="164" t="s">
        <v>91</v>
      </c>
      <c r="C44" s="166">
        <v>17508.15658618</v>
      </c>
      <c r="D44" s="166">
        <v>17678.325371820003</v>
      </c>
      <c r="E44" s="179">
        <v>170.16878564000217</v>
      </c>
      <c r="F44" s="179">
        <v>1.0438665243847638</v>
      </c>
      <c r="G44" s="82"/>
      <c r="H44" s="82"/>
    </row>
    <row r="45" spans="2:6" ht="11.25">
      <c r="B45" s="60" t="s">
        <v>126</v>
      </c>
      <c r="C45" s="166">
        <v>14069.42825475</v>
      </c>
      <c r="D45" s="166">
        <v>14172.21560028</v>
      </c>
      <c r="E45" s="179">
        <v>102.78734552999958</v>
      </c>
      <c r="F45" s="179">
        <v>0.7305722995196866</v>
      </c>
    </row>
    <row r="46" spans="2:6" ht="11.25">
      <c r="B46" s="61" t="s">
        <v>120</v>
      </c>
      <c r="C46" s="165">
        <v>11232.43367269</v>
      </c>
      <c r="D46" s="165">
        <v>11294.177681199999</v>
      </c>
      <c r="E46" s="179">
        <v>61.74400850999882</v>
      </c>
      <c r="F46" s="179">
        <v>0.5496939515442698</v>
      </c>
    </row>
    <row r="47" spans="2:6" ht="11.25">
      <c r="B47" s="61" t="s">
        <v>127</v>
      </c>
      <c r="C47" s="165">
        <v>1714.7214990299997</v>
      </c>
      <c r="D47" s="165">
        <v>1730.35758144</v>
      </c>
      <c r="E47" s="179">
        <v>15.636082410000427</v>
      </c>
      <c r="F47" s="179">
        <v>0.9118730020499304</v>
      </c>
    </row>
    <row r="48" spans="2:7" ht="11.25">
      <c r="B48" s="61" t="s">
        <v>122</v>
      </c>
      <c r="C48" s="165">
        <v>1122.27308303</v>
      </c>
      <c r="D48" s="165">
        <v>1147.68033764</v>
      </c>
      <c r="E48" s="179">
        <v>25.40725461000011</v>
      </c>
      <c r="F48" s="179">
        <v>2.263910183197447</v>
      </c>
      <c r="G48" s="82"/>
    </row>
    <row r="49" spans="2:6" ht="11.25">
      <c r="B49" s="60" t="s">
        <v>123</v>
      </c>
      <c r="C49" s="165">
        <v>3035.77822512</v>
      </c>
      <c r="D49" s="165">
        <v>3100.37537828</v>
      </c>
      <c r="E49" s="179">
        <v>64.59715315999983</v>
      </c>
      <c r="F49" s="179">
        <v>2.542680902092196</v>
      </c>
    </row>
    <row r="50" spans="2:6" ht="11.25">
      <c r="B50" s="60" t="s">
        <v>124</v>
      </c>
      <c r="C50" s="165">
        <v>67.24710631</v>
      </c>
      <c r="D50" s="165">
        <v>75.24539326</v>
      </c>
      <c r="E50" s="179">
        <v>7.998286949999994</v>
      </c>
      <c r="F50" s="179">
        <v>11.893875274170131</v>
      </c>
    </row>
    <row r="51" spans="2:6" ht="11.25">
      <c r="B51" s="60" t="s">
        <v>125</v>
      </c>
      <c r="C51" s="165">
        <v>335.703</v>
      </c>
      <c r="D51" s="165">
        <v>330.489</v>
      </c>
      <c r="E51" s="179">
        <v>-5.213999999999999</v>
      </c>
      <c r="F51" s="179">
        <v>-1.5531585955442755</v>
      </c>
    </row>
    <row r="52" spans="2:6" ht="12" thickBot="1">
      <c r="B52" s="173" t="s">
        <v>128</v>
      </c>
      <c r="C52" s="181">
        <v>43.443</v>
      </c>
      <c r="D52" s="181">
        <v>39.876000000000005</v>
      </c>
      <c r="E52" s="182">
        <v>-3.566999999999993</v>
      </c>
      <c r="F52" s="182">
        <v>-8.210758925488555</v>
      </c>
    </row>
    <row r="53" ht="11.25">
      <c r="B53" s="96" t="s">
        <v>145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29">
      <selection activeCell="A2" sqref="A2:M49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86" t="s">
        <v>154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188"/>
    </row>
    <row r="25" spans="1:12" ht="15.75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8"/>
      <c r="L25" s="188"/>
    </row>
    <row r="27" spans="2:13" ht="15.75">
      <c r="B27" s="186" t="s">
        <v>164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8"/>
      <c r="M27" s="188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29" t="s">
        <v>107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5" ht="15">
      <c r="B47" s="29" t="s">
        <v>161</v>
      </c>
      <c r="C47" s="29"/>
      <c r="D47" s="29"/>
      <c r="E47" s="29"/>
    </row>
    <row r="48" spans="2:5" ht="15">
      <c r="B48" s="29"/>
      <c r="C48" s="29"/>
      <c r="D48" s="29"/>
      <c r="E48" s="29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75">
      <selection activeCell="A1" sqref="A1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38990</v>
      </c>
      <c r="C2" s="79">
        <v>39021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8</v>
      </c>
      <c r="C4" s="42">
        <v>8.5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12.75</v>
      </c>
      <c r="C6" s="42">
        <v>13.25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12.75</v>
      </c>
      <c r="C8" s="42">
        <v>13.25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148</v>
      </c>
      <c r="B10" s="42">
        <v>11.71</v>
      </c>
      <c r="C10" s="42">
        <v>11.97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6.22</v>
      </c>
      <c r="C12" s="42">
        <v>6.37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7.57</v>
      </c>
      <c r="C16" s="42">
        <v>7.52</v>
      </c>
    </row>
    <row r="17" spans="1:3" ht="12">
      <c r="A17" s="6" t="s">
        <v>41</v>
      </c>
      <c r="B17" s="42">
        <v>7.94</v>
      </c>
      <c r="C17" s="42">
        <v>7.88</v>
      </c>
    </row>
    <row r="18" spans="1:3" ht="12">
      <c r="A18" s="6" t="s">
        <v>8</v>
      </c>
      <c r="B18" s="85">
        <v>150</v>
      </c>
      <c r="C18" s="85">
        <v>50</v>
      </c>
    </row>
    <row r="19" spans="1:3" ht="12">
      <c r="A19" s="6" t="s">
        <v>9</v>
      </c>
      <c r="B19" s="85">
        <v>150</v>
      </c>
      <c r="C19" s="85">
        <v>50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8.09</v>
      </c>
      <c r="C23" s="85">
        <v>0</v>
      </c>
    </row>
    <row r="24" spans="1:3" ht="12">
      <c r="A24" s="6" t="s">
        <v>40</v>
      </c>
      <c r="B24" s="42">
        <v>8.61</v>
      </c>
      <c r="C24" s="42">
        <v>0</v>
      </c>
    </row>
    <row r="25" spans="1:3" ht="12">
      <c r="A25" s="6" t="s">
        <v>8</v>
      </c>
      <c r="B25" s="85">
        <v>350</v>
      </c>
      <c r="C25" s="85">
        <v>0</v>
      </c>
    </row>
    <row r="26" spans="1:3" ht="12">
      <c r="A26" s="6" t="s">
        <v>9</v>
      </c>
      <c r="B26" s="85">
        <v>400</v>
      </c>
      <c r="C26" s="85">
        <v>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8.43</v>
      </c>
      <c r="C30" s="85">
        <v>8.38</v>
      </c>
    </row>
    <row r="31" spans="1:3" ht="12">
      <c r="A31" s="6" t="s">
        <v>40</v>
      </c>
      <c r="B31" s="85">
        <v>9.21</v>
      </c>
      <c r="C31" s="85">
        <v>9.15</v>
      </c>
    </row>
    <row r="32" spans="1:3" ht="12">
      <c r="A32" s="6" t="s">
        <v>8</v>
      </c>
      <c r="B32" s="85">
        <v>500</v>
      </c>
      <c r="C32" s="85">
        <v>50</v>
      </c>
    </row>
    <row r="33" spans="1:3" ht="12">
      <c r="A33" s="6" t="s">
        <v>9</v>
      </c>
      <c r="B33" s="42">
        <v>650</v>
      </c>
      <c r="C33" s="42">
        <v>100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4425.01</v>
      </c>
      <c r="C37" s="42">
        <v>4375.01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38990</v>
      </c>
      <c r="C41" s="79">
        <v>39021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110</v>
      </c>
      <c r="B44" s="39"/>
      <c r="C44" s="39"/>
    </row>
    <row r="45" spans="1:3" ht="12">
      <c r="A45" s="6" t="s">
        <v>13</v>
      </c>
      <c r="B45" s="80">
        <v>10.02</v>
      </c>
      <c r="C45" s="80">
        <v>10</v>
      </c>
    </row>
    <row r="46" spans="1:3" ht="12">
      <c r="A46" s="6" t="s">
        <v>8</v>
      </c>
      <c r="B46" s="80">
        <v>131</v>
      </c>
      <c r="C46" s="80">
        <v>40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6537.8</v>
      </c>
      <c r="C49" s="85">
        <v>6577.84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38990</v>
      </c>
      <c r="C51" s="79">
        <v>39021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21.173</v>
      </c>
      <c r="C55" s="84">
        <v>16.116</v>
      </c>
      <c r="E55" s="11"/>
    </row>
    <row r="56" spans="1:10" ht="12">
      <c r="A56" s="6" t="s">
        <v>18</v>
      </c>
      <c r="B56" s="83">
        <v>954.989</v>
      </c>
      <c r="C56" s="83">
        <v>492.215</v>
      </c>
      <c r="E56" s="11"/>
      <c r="H56" s="12"/>
      <c r="J56" s="12"/>
    </row>
    <row r="57" spans="1:5" ht="12">
      <c r="A57" s="6" t="s">
        <v>19</v>
      </c>
      <c r="B57" s="83">
        <v>727.36</v>
      </c>
      <c r="C57" s="83">
        <v>790.35</v>
      </c>
      <c r="D57" s="14"/>
      <c r="E57" s="13"/>
    </row>
    <row r="58" spans="1:5" ht="12">
      <c r="A58" s="6" t="s">
        <v>20</v>
      </c>
      <c r="B58" s="83">
        <v>1009.012</v>
      </c>
      <c r="C58" s="83">
        <v>1085.179</v>
      </c>
      <c r="D58" s="14"/>
      <c r="E58" s="13"/>
    </row>
    <row r="59" spans="1:5" ht="12">
      <c r="A59" s="6" t="s">
        <v>21</v>
      </c>
      <c r="B59" s="83">
        <v>501.918</v>
      </c>
      <c r="C59" s="83">
        <v>520.273</v>
      </c>
      <c r="D59" s="13"/>
      <c r="E59" s="13"/>
    </row>
    <row r="60" spans="1:10" ht="12">
      <c r="A60" s="6" t="s">
        <v>22</v>
      </c>
      <c r="B60" s="83">
        <v>428.947</v>
      </c>
      <c r="C60" s="83">
        <v>449.915</v>
      </c>
      <c r="D60" s="14"/>
      <c r="E60" s="13"/>
      <c r="H60" s="12"/>
      <c r="J60" s="12"/>
    </row>
    <row r="61" spans="1:10" ht="12">
      <c r="A61" s="6" t="s">
        <v>23</v>
      </c>
      <c r="B61" s="83">
        <v>26.645</v>
      </c>
      <c r="C61" s="83">
        <v>29.272</v>
      </c>
      <c r="D61" s="14"/>
      <c r="E61" s="13"/>
      <c r="H61" s="12"/>
      <c r="J61" s="12"/>
    </row>
    <row r="62" spans="1:4" ht="12">
      <c r="A62" s="6" t="s">
        <v>24</v>
      </c>
      <c r="B62" s="83">
        <v>49.653</v>
      </c>
      <c r="C62" s="83">
        <v>56.695</v>
      </c>
      <c r="D62" s="14"/>
    </row>
    <row r="63" spans="1:4" ht="12">
      <c r="A63" s="6" t="s">
        <v>25</v>
      </c>
      <c r="B63" s="83">
        <v>1.851</v>
      </c>
      <c r="C63" s="83">
        <v>2.025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5.028</v>
      </c>
      <c r="C67" s="42">
        <v>5.538</v>
      </c>
      <c r="E67" s="11"/>
    </row>
    <row r="68" spans="1:5" ht="12">
      <c r="A68" s="6" t="s">
        <v>18</v>
      </c>
      <c r="B68" s="42">
        <v>17.96</v>
      </c>
      <c r="C68" s="42">
        <v>19.404</v>
      </c>
      <c r="E68" s="12"/>
    </row>
    <row r="69" spans="1:5" ht="12">
      <c r="A69" s="6" t="s">
        <v>19</v>
      </c>
      <c r="B69" s="42">
        <v>82.05</v>
      </c>
      <c r="C69" s="42">
        <v>86.01</v>
      </c>
      <c r="D69" s="14"/>
      <c r="E69" s="12"/>
    </row>
    <row r="70" spans="1:5" ht="12">
      <c r="A70" s="6" t="s">
        <v>20</v>
      </c>
      <c r="B70" s="85">
        <v>3.672</v>
      </c>
      <c r="C70" s="85">
        <v>3.664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2.955</v>
      </c>
      <c r="C72" s="42">
        <v>2.97</v>
      </c>
      <c r="D72" s="86"/>
      <c r="E72" s="12"/>
    </row>
    <row r="73" spans="1:4" ht="12">
      <c r="A73" s="6" t="s">
        <v>23</v>
      </c>
      <c r="B73" s="42">
        <v>0.671</v>
      </c>
      <c r="C73" s="42">
        <v>0.65</v>
      </c>
      <c r="D73" s="14"/>
    </row>
    <row r="74" spans="1:4" ht="12">
      <c r="A74" s="6" t="s">
        <v>24</v>
      </c>
      <c r="B74" s="42">
        <v>0.27</v>
      </c>
      <c r="C74" s="42">
        <v>0.32</v>
      </c>
      <c r="D74" s="14"/>
    </row>
    <row r="75" spans="1:4" ht="12">
      <c r="A75" s="6" t="s">
        <v>25</v>
      </c>
      <c r="B75" s="42">
        <v>0.2</v>
      </c>
      <c r="C75" s="42">
        <v>0.26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38989</v>
      </c>
      <c r="C77" s="79">
        <v>39021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5.5</v>
      </c>
      <c r="C80" s="81">
        <v>5.8</v>
      </c>
    </row>
    <row r="81" spans="1:3" ht="12">
      <c r="A81" s="6" t="s">
        <v>28</v>
      </c>
      <c r="B81" s="81">
        <v>4.8</v>
      </c>
      <c r="C81" s="81">
        <v>5.4</v>
      </c>
    </row>
    <row r="82" spans="1:3" ht="12.75" thickBot="1">
      <c r="A82" s="15" t="s">
        <v>29</v>
      </c>
      <c r="B82" s="89">
        <v>0.6</v>
      </c>
      <c r="C82" s="89">
        <v>0.5</v>
      </c>
    </row>
    <row r="83" ht="12">
      <c r="A83" s="2" t="s">
        <v>167</v>
      </c>
    </row>
    <row r="84" ht="12">
      <c r="A84" s="2" t="s">
        <v>149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B4" sqref="A4:N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0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3:13" ht="15.75"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7" ht="15.75">
      <c r="A4" s="19"/>
      <c r="B4" s="19"/>
      <c r="C4" s="189" t="s">
        <v>153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"/>
      <c r="M6" s="19"/>
      <c r="N6" s="19"/>
      <c r="O6" s="19"/>
      <c r="P6" s="19"/>
      <c r="Q6" s="19"/>
    </row>
    <row r="7" spans="1:1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59" t="s">
        <v>156</v>
      </c>
      <c r="D26" s="160"/>
      <c r="E26" s="16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59"/>
      <c r="D27" s="160"/>
      <c r="E27" s="16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89" t="s">
        <v>157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59" t="s">
        <v>155</v>
      </c>
      <c r="D52" s="16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89" t="s">
        <v>163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59" t="s">
        <v>158</v>
      </c>
      <c r="D79" s="161"/>
      <c r="E79" s="161"/>
      <c r="F79" s="161"/>
    </row>
    <row r="84" ht="15">
      <c r="C84" s="20"/>
    </row>
  </sheetData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2"/>
  <sheetViews>
    <sheetView showGridLines="0" zoomScaleSheetLayoutView="75" workbookViewId="0" topLeftCell="A3">
      <pane xSplit="30" ySplit="2" topLeftCell="AR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AU22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customWidth="1"/>
    <col min="32" max="32" width="11.8515625" style="40" customWidth="1"/>
    <col min="33" max="33" width="12.140625" style="40" customWidth="1"/>
    <col min="34" max="34" width="11.421875" style="40" customWidth="1"/>
    <col min="35" max="35" width="11.140625" style="40" customWidth="1"/>
    <col min="36" max="36" width="10.8515625" style="40" customWidth="1"/>
    <col min="37" max="40" width="10.421875" style="40" customWidth="1"/>
    <col min="41" max="41" width="11.421875" style="40" customWidth="1"/>
    <col min="42" max="44" width="11.00390625" style="40" customWidth="1"/>
    <col min="45" max="47" width="12.7109375" style="40" customWidth="1"/>
    <col min="48" max="16384" width="9.140625" style="40" customWidth="1"/>
  </cols>
  <sheetData>
    <row r="1" ht="19.5" customHeight="1" thickBot="1"/>
    <row r="2" spans="2:47" ht="19.5" customHeight="1">
      <c r="B2" s="107" t="s">
        <v>150</v>
      </c>
      <c r="C2" s="108"/>
      <c r="D2" s="108"/>
      <c r="E2" s="108"/>
      <c r="F2" s="109"/>
      <c r="G2" s="110"/>
      <c r="H2" s="109"/>
      <c r="I2" s="110"/>
      <c r="J2" s="110"/>
      <c r="K2" s="109"/>
      <c r="L2" s="109"/>
      <c r="M2" s="111"/>
      <c r="N2" s="110"/>
      <c r="O2" s="112"/>
      <c r="P2" s="110"/>
      <c r="Q2" s="109"/>
      <c r="R2" s="110"/>
      <c r="S2" s="110"/>
      <c r="T2" s="113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</row>
    <row r="3" spans="2:47" ht="19.5" customHeight="1">
      <c r="B3" s="114"/>
      <c r="C3" s="114"/>
      <c r="D3" s="114"/>
      <c r="E3" s="114"/>
      <c r="F3" s="115"/>
      <c r="G3" s="115"/>
      <c r="H3" s="115"/>
      <c r="I3" s="116"/>
      <c r="J3" s="116"/>
      <c r="K3" s="115"/>
      <c r="L3" s="115"/>
      <c r="M3" s="117"/>
      <c r="N3" s="116"/>
      <c r="O3" s="118"/>
      <c r="P3" s="116"/>
      <c r="Q3" s="115"/>
      <c r="R3" s="116"/>
      <c r="S3" s="116"/>
      <c r="T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  <row r="4" spans="2:47" ht="19.5" customHeight="1">
      <c r="B4" s="120"/>
      <c r="C4" s="121">
        <v>37655</v>
      </c>
      <c r="D4" s="121">
        <v>37681</v>
      </c>
      <c r="E4" s="121">
        <v>37712</v>
      </c>
      <c r="F4" s="121">
        <v>37742</v>
      </c>
      <c r="G4" s="121">
        <v>37773</v>
      </c>
      <c r="H4" s="121">
        <v>37803</v>
      </c>
      <c r="I4" s="121">
        <v>37834</v>
      </c>
      <c r="J4" s="121">
        <v>37865</v>
      </c>
      <c r="K4" s="121">
        <v>37895</v>
      </c>
      <c r="L4" s="121">
        <v>37926</v>
      </c>
      <c r="M4" s="121">
        <v>37956</v>
      </c>
      <c r="N4" s="121">
        <v>37987</v>
      </c>
      <c r="O4" s="122">
        <v>38018</v>
      </c>
      <c r="P4" s="121">
        <v>38047</v>
      </c>
      <c r="Q4" s="121">
        <v>38078</v>
      </c>
      <c r="R4" s="121">
        <v>38108</v>
      </c>
      <c r="S4" s="121">
        <v>38139</v>
      </c>
      <c r="T4" s="121">
        <v>38169</v>
      </c>
      <c r="U4" s="121">
        <v>38200</v>
      </c>
      <c r="V4" s="121">
        <v>38231</v>
      </c>
      <c r="W4" s="121">
        <v>38261</v>
      </c>
      <c r="X4" s="121">
        <v>38292</v>
      </c>
      <c r="Y4" s="121">
        <v>38322</v>
      </c>
      <c r="Z4" s="121">
        <v>38353</v>
      </c>
      <c r="AA4" s="121">
        <v>38384</v>
      </c>
      <c r="AB4" s="121">
        <v>38412</v>
      </c>
      <c r="AC4" s="121">
        <v>38443</v>
      </c>
      <c r="AD4" s="121">
        <v>38473</v>
      </c>
      <c r="AE4" s="121">
        <v>38504</v>
      </c>
      <c r="AF4" s="121">
        <v>38534</v>
      </c>
      <c r="AG4" s="121">
        <v>38565</v>
      </c>
      <c r="AH4" s="121">
        <v>38596</v>
      </c>
      <c r="AI4" s="121">
        <v>38626</v>
      </c>
      <c r="AJ4" s="121">
        <v>38657</v>
      </c>
      <c r="AK4" s="121">
        <v>38687</v>
      </c>
      <c r="AL4" s="121">
        <v>38718</v>
      </c>
      <c r="AM4" s="121">
        <v>38749</v>
      </c>
      <c r="AN4" s="121">
        <v>38777</v>
      </c>
      <c r="AO4" s="121">
        <v>38808</v>
      </c>
      <c r="AP4" s="121">
        <v>38838</v>
      </c>
      <c r="AQ4" s="121">
        <v>38869</v>
      </c>
      <c r="AR4" s="121">
        <v>38929</v>
      </c>
      <c r="AS4" s="121">
        <v>38960</v>
      </c>
      <c r="AT4" s="121">
        <v>38990</v>
      </c>
      <c r="AU4" s="121">
        <v>39021</v>
      </c>
    </row>
    <row r="5" spans="1:47" ht="19.5" customHeight="1">
      <c r="A5" s="157"/>
      <c r="B5" s="123" t="s">
        <v>114</v>
      </c>
      <c r="C5" s="124"/>
      <c r="D5" s="124"/>
      <c r="E5" s="125"/>
      <c r="F5" s="126"/>
      <c r="G5" s="126"/>
      <c r="H5" s="126"/>
      <c r="I5" s="126"/>
      <c r="J5" s="126"/>
      <c r="K5" s="126"/>
      <c r="L5" s="126"/>
      <c r="M5" s="127"/>
      <c r="N5" s="126"/>
      <c r="O5" s="128"/>
      <c r="P5" s="129"/>
      <c r="Q5" s="126"/>
      <c r="R5" s="129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19.5" customHeight="1">
      <c r="A6" s="158"/>
      <c r="B6" s="123"/>
      <c r="C6" s="124"/>
      <c r="D6" s="124"/>
      <c r="E6" s="125"/>
      <c r="F6" s="126"/>
      <c r="G6" s="126"/>
      <c r="H6" s="126"/>
      <c r="I6" s="126"/>
      <c r="J6" s="126"/>
      <c r="K6" s="126"/>
      <c r="L6" s="126"/>
      <c r="M6" s="127"/>
      <c r="N6" s="126"/>
      <c r="O6" s="128"/>
      <c r="P6" s="129"/>
      <c r="Q6" s="126"/>
      <c r="R6" s="129"/>
      <c r="S6" s="129"/>
      <c r="T6" s="130"/>
      <c r="U6" s="129"/>
      <c r="V6" s="129"/>
      <c r="W6" s="129"/>
      <c r="X6" s="129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</row>
    <row r="7" spans="2:47" ht="19.5" customHeight="1">
      <c r="B7" s="123" t="s">
        <v>30</v>
      </c>
      <c r="C7" s="131">
        <v>2595.44027685</v>
      </c>
      <c r="D7" s="131">
        <v>2187.8368766900003</v>
      </c>
      <c r="E7" s="131">
        <v>2272.4872471500003</v>
      </c>
      <c r="F7" s="132">
        <v>2113.36340838</v>
      </c>
      <c r="G7" s="132">
        <v>2165.8</v>
      </c>
      <c r="H7" s="133">
        <v>2129.6</v>
      </c>
      <c r="I7" s="126">
        <v>1891</v>
      </c>
      <c r="J7" s="132">
        <v>2181.2</v>
      </c>
      <c r="K7" s="132">
        <v>2467.9</v>
      </c>
      <c r="L7" s="132">
        <v>2091</v>
      </c>
      <c r="M7" s="134">
        <v>2110.3</v>
      </c>
      <c r="N7" s="132">
        <v>2710.8702829799995</v>
      </c>
      <c r="O7" s="135">
        <v>1935.4129830699999</v>
      </c>
      <c r="P7" s="136">
        <v>1824.1042653499997</v>
      </c>
      <c r="Q7" s="126">
        <v>2395.6</v>
      </c>
      <c r="R7" s="126">
        <v>1860.4</v>
      </c>
      <c r="S7" s="126">
        <v>1783.2</v>
      </c>
      <c r="T7" s="126">
        <v>1984.6</v>
      </c>
      <c r="U7" s="126">
        <v>1989.9</v>
      </c>
      <c r="V7" s="126">
        <v>1808.2</v>
      </c>
      <c r="W7" s="126">
        <v>2207.6</v>
      </c>
      <c r="X7" s="126">
        <v>1987.9</v>
      </c>
      <c r="Y7" s="126">
        <v>1977.3</v>
      </c>
      <c r="Z7" s="126">
        <v>2327.5</v>
      </c>
      <c r="AA7" s="126">
        <v>2029.5</v>
      </c>
      <c r="AB7" s="126">
        <v>1912.6</v>
      </c>
      <c r="AC7" s="126">
        <v>2303.8</v>
      </c>
      <c r="AD7" s="126">
        <v>2107.1</v>
      </c>
      <c r="AE7" s="126">
        <v>1874.1</v>
      </c>
      <c r="AF7" s="126">
        <v>2354.7</v>
      </c>
      <c r="AG7" s="126">
        <v>2159.1</v>
      </c>
      <c r="AH7" s="126">
        <v>1818.2</v>
      </c>
      <c r="AI7" s="132">
        <v>2245</v>
      </c>
      <c r="AJ7" s="132">
        <v>1902.22246</v>
      </c>
      <c r="AK7" s="132">
        <v>1983.9</v>
      </c>
      <c r="AL7" s="132">
        <v>2705.5</v>
      </c>
      <c r="AM7" s="132">
        <v>2696</v>
      </c>
      <c r="AN7" s="132">
        <v>2458.1</v>
      </c>
      <c r="AO7" s="132">
        <v>3129.7</v>
      </c>
      <c r="AP7" s="132">
        <v>2973</v>
      </c>
      <c r="AQ7" s="132">
        <v>2677.9</v>
      </c>
      <c r="AR7" s="132">
        <v>3313.1</v>
      </c>
      <c r="AS7" s="132">
        <v>2760.7</v>
      </c>
      <c r="AT7" s="132">
        <v>3119.2</v>
      </c>
      <c r="AU7" s="132">
        <v>4104.4</v>
      </c>
    </row>
    <row r="8" spans="2:47" ht="19.5" customHeight="1">
      <c r="B8" s="123" t="s">
        <v>31</v>
      </c>
      <c r="C8" s="137"/>
      <c r="D8" s="137">
        <f>D7-C7</f>
        <v>-407.60340015999964</v>
      </c>
      <c r="E8" s="137">
        <f>E7-D7</f>
        <v>84.65037045999998</v>
      </c>
      <c r="F8" s="137">
        <f>F7-E7</f>
        <v>-159.12383877000048</v>
      </c>
      <c r="G8" s="137">
        <f aca="true" t="shared" si="0" ref="G8:AG8">G7-F7</f>
        <v>52.4365916200004</v>
      </c>
      <c r="H8" s="137">
        <f t="shared" si="0"/>
        <v>-36.20000000000027</v>
      </c>
      <c r="I8" s="137">
        <f t="shared" si="0"/>
        <v>-238.5999999999999</v>
      </c>
      <c r="J8" s="137">
        <f t="shared" si="0"/>
        <v>290.1999999999998</v>
      </c>
      <c r="K8" s="137">
        <f t="shared" si="0"/>
        <v>286.7000000000003</v>
      </c>
      <c r="L8" s="137">
        <f t="shared" si="0"/>
        <v>-376.9000000000001</v>
      </c>
      <c r="M8" s="137">
        <f t="shared" si="0"/>
        <v>19.300000000000182</v>
      </c>
      <c r="N8" s="137">
        <f t="shared" si="0"/>
        <v>600.5702829799993</v>
      </c>
      <c r="O8" s="138">
        <f t="shared" si="0"/>
        <v>-775.4572999099996</v>
      </c>
      <c r="P8" s="133">
        <f t="shared" si="0"/>
        <v>-111.30871772000023</v>
      </c>
      <c r="Q8" s="133">
        <f t="shared" si="0"/>
        <v>571.4957346500003</v>
      </c>
      <c r="R8" s="133">
        <f t="shared" si="0"/>
        <v>-535.1999999999998</v>
      </c>
      <c r="S8" s="133">
        <f t="shared" si="0"/>
        <v>-77.20000000000005</v>
      </c>
      <c r="T8" s="133">
        <f t="shared" si="0"/>
        <v>201.39999999999986</v>
      </c>
      <c r="U8" s="133">
        <f t="shared" si="0"/>
        <v>5.300000000000182</v>
      </c>
      <c r="V8" s="133">
        <f t="shared" si="0"/>
        <v>-181.70000000000005</v>
      </c>
      <c r="W8" s="133">
        <f t="shared" si="0"/>
        <v>399.39999999999986</v>
      </c>
      <c r="X8" s="133">
        <f t="shared" si="0"/>
        <v>-219.69999999999982</v>
      </c>
      <c r="Y8" s="133">
        <f t="shared" si="0"/>
        <v>-10.600000000000136</v>
      </c>
      <c r="Z8" s="133">
        <f t="shared" si="0"/>
        <v>350.20000000000005</v>
      </c>
      <c r="AA8" s="133">
        <f t="shared" si="0"/>
        <v>-298</v>
      </c>
      <c r="AB8" s="133">
        <f t="shared" si="0"/>
        <v>-116.90000000000009</v>
      </c>
      <c r="AC8" s="133">
        <f t="shared" si="0"/>
        <v>391.2000000000003</v>
      </c>
      <c r="AD8" s="133">
        <f t="shared" si="0"/>
        <v>-196.70000000000027</v>
      </c>
      <c r="AE8" s="133">
        <f t="shared" si="0"/>
        <v>-233</v>
      </c>
      <c r="AF8" s="133">
        <f t="shared" si="0"/>
        <v>480.5999999999999</v>
      </c>
      <c r="AG8" s="133">
        <f t="shared" si="0"/>
        <v>-195.5999999999999</v>
      </c>
      <c r="AH8" s="133">
        <f aca="true" t="shared" si="1" ref="AH8:AU8">AH7-AG7</f>
        <v>-340.89999999999986</v>
      </c>
      <c r="AI8" s="133">
        <f t="shared" si="1"/>
        <v>426.79999999999995</v>
      </c>
      <c r="AJ8" s="133">
        <f t="shared" si="1"/>
        <v>-342.77754000000004</v>
      </c>
      <c r="AK8" s="133">
        <f t="shared" si="1"/>
        <v>81.67754000000014</v>
      </c>
      <c r="AL8" s="133">
        <f t="shared" si="1"/>
        <v>721.5999999999999</v>
      </c>
      <c r="AM8" s="133">
        <f t="shared" si="1"/>
        <v>-9.5</v>
      </c>
      <c r="AN8" s="133">
        <f t="shared" si="1"/>
        <v>-237.9000000000001</v>
      </c>
      <c r="AO8" s="133">
        <f t="shared" si="1"/>
        <v>671.5999999999999</v>
      </c>
      <c r="AP8" s="133">
        <f t="shared" si="1"/>
        <v>-156.69999999999982</v>
      </c>
      <c r="AQ8" s="133">
        <f t="shared" si="1"/>
        <v>-295.0999999999999</v>
      </c>
      <c r="AR8" s="133">
        <f t="shared" si="1"/>
        <v>635.1999999999998</v>
      </c>
      <c r="AS8" s="133">
        <f t="shared" si="1"/>
        <v>-552.4000000000001</v>
      </c>
      <c r="AT8" s="133">
        <f t="shared" si="1"/>
        <v>358.5</v>
      </c>
      <c r="AU8" s="133">
        <f t="shared" si="1"/>
        <v>985.1999999999998</v>
      </c>
    </row>
    <row r="9" spans="2:47" ht="19.5" customHeight="1">
      <c r="B9" s="123"/>
      <c r="C9" s="124"/>
      <c r="D9" s="124"/>
      <c r="E9" s="124"/>
      <c r="F9" s="126"/>
      <c r="G9" s="126"/>
      <c r="H9" s="126"/>
      <c r="I9" s="126"/>
      <c r="J9" s="126"/>
      <c r="K9" s="126"/>
      <c r="L9" s="126"/>
      <c r="M9" s="127"/>
      <c r="N9" s="126"/>
      <c r="O9" s="128"/>
      <c r="P9" s="129"/>
      <c r="Q9" s="126"/>
      <c r="R9" s="129"/>
      <c r="S9" s="129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</row>
    <row r="10" spans="2:47" ht="19.5" customHeight="1">
      <c r="B10" s="123" t="s">
        <v>45</v>
      </c>
      <c r="C10" s="124"/>
      <c r="D10" s="124"/>
      <c r="E10" s="124"/>
      <c r="F10" s="126"/>
      <c r="G10" s="126"/>
      <c r="H10" s="126"/>
      <c r="I10" s="126"/>
      <c r="J10" s="126"/>
      <c r="K10" s="126"/>
      <c r="L10" s="126"/>
      <c r="M10" s="127"/>
      <c r="N10" s="126"/>
      <c r="O10" s="128"/>
      <c r="P10" s="129"/>
      <c r="Q10" s="126"/>
      <c r="R10" s="129"/>
      <c r="S10" s="129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</row>
    <row r="11" spans="2:47" ht="19.5" customHeight="1">
      <c r="B11" s="123"/>
      <c r="C11" s="124"/>
      <c r="D11" s="124"/>
      <c r="E11" s="124"/>
      <c r="F11" s="126"/>
      <c r="G11" s="126"/>
      <c r="H11" s="126"/>
      <c r="I11" s="126"/>
      <c r="J11" s="126"/>
      <c r="K11" s="126"/>
      <c r="L11" s="126"/>
      <c r="M11" s="127"/>
      <c r="N11" s="126"/>
      <c r="O11" s="128"/>
      <c r="P11" s="129"/>
      <c r="Q11" s="126"/>
      <c r="R11" s="129"/>
      <c r="S11" s="129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</row>
    <row r="12" spans="2:47" ht="19.5" customHeight="1">
      <c r="B12" s="123" t="s">
        <v>32</v>
      </c>
      <c r="C12" s="124"/>
      <c r="D12" s="124">
        <v>8.0439</v>
      </c>
      <c r="E12" s="124">
        <v>7.7068</v>
      </c>
      <c r="F12" s="139">
        <v>7.6652</v>
      </c>
      <c r="G12" s="139">
        <v>7.9027</v>
      </c>
      <c r="H12" s="139">
        <v>7.5401</v>
      </c>
      <c r="I12" s="126">
        <v>7.3922</v>
      </c>
      <c r="J12" s="126">
        <v>7.3246</v>
      </c>
      <c r="K12" s="126">
        <v>6.9637</v>
      </c>
      <c r="L12" s="126">
        <v>6.7287</v>
      </c>
      <c r="M12" s="127">
        <v>6.5159</v>
      </c>
      <c r="N12" s="126">
        <v>6.9179</v>
      </c>
      <c r="O12" s="127">
        <v>6.7686</v>
      </c>
      <c r="P12" s="126">
        <v>6.6633</v>
      </c>
      <c r="Q12" s="126">
        <v>6.5537</v>
      </c>
      <c r="R12" s="126">
        <v>6.7821</v>
      </c>
      <c r="S12" s="126">
        <v>6.4381</v>
      </c>
      <c r="T12" s="140">
        <v>6.1287</v>
      </c>
      <c r="U12" s="126">
        <v>6.4575</v>
      </c>
      <c r="V12" s="126">
        <v>6.5469</v>
      </c>
      <c r="W12" s="126">
        <v>6.3876</v>
      </c>
      <c r="X12" s="126">
        <v>6.0558</v>
      </c>
      <c r="Y12" s="126">
        <v>5.7323</v>
      </c>
      <c r="Z12" s="126">
        <v>5.9698</v>
      </c>
      <c r="AA12" s="126">
        <v>6.0161</v>
      </c>
      <c r="AB12" s="126">
        <v>6.323</v>
      </c>
      <c r="AC12" s="126">
        <v>6.1521</v>
      </c>
      <c r="AD12" s="126">
        <v>6.3314</v>
      </c>
      <c r="AE12" s="140">
        <v>6.75</v>
      </c>
      <c r="AF12" s="140">
        <v>6.7035</v>
      </c>
      <c r="AG12" s="140">
        <v>6.465</v>
      </c>
      <c r="AH12" s="140">
        <v>6.3578</v>
      </c>
      <c r="AI12" s="140">
        <v>6.5766</v>
      </c>
      <c r="AJ12" s="140">
        <v>6.521</v>
      </c>
      <c r="AK12" s="140">
        <v>6.3591</v>
      </c>
      <c r="AL12" s="140">
        <v>6.0891</v>
      </c>
      <c r="AM12" s="140">
        <v>6.1177</v>
      </c>
      <c r="AN12" s="140">
        <v>6.2544</v>
      </c>
      <c r="AO12" s="140">
        <v>6.072</v>
      </c>
      <c r="AP12" s="140">
        <v>6.3199</v>
      </c>
      <c r="AQ12" s="140">
        <v>6.9549</v>
      </c>
      <c r="AR12" s="140">
        <v>7.0843</v>
      </c>
      <c r="AS12" s="140">
        <v>6.9553</v>
      </c>
      <c r="AT12" s="140">
        <v>7.4098</v>
      </c>
      <c r="AU12" s="140">
        <v>7.6492</v>
      </c>
    </row>
    <row r="13" spans="2:47" ht="19.5" customHeight="1">
      <c r="B13" s="123" t="s">
        <v>33</v>
      </c>
      <c r="C13" s="141"/>
      <c r="D13" s="141">
        <f>1/8.0439</f>
        <v>0.124317806039359</v>
      </c>
      <c r="E13" s="141">
        <f>1/7.7068</f>
        <v>0.12975554056158198</v>
      </c>
      <c r="F13" s="142">
        <f>1/7.6652</f>
        <v>0.13045974012419767</v>
      </c>
      <c r="G13" s="142">
        <f>1/7.9027</f>
        <v>0.12653903096410088</v>
      </c>
      <c r="H13" s="142">
        <f>1/7.5401</f>
        <v>0.1326242357528415</v>
      </c>
      <c r="I13" s="142">
        <f>1/7.3922</f>
        <v>0.13527772516977354</v>
      </c>
      <c r="J13" s="142">
        <f>1/7.3246</f>
        <v>0.1365262266881468</v>
      </c>
      <c r="K13" s="142">
        <f>1/6.9637</f>
        <v>0.14360182087108864</v>
      </c>
      <c r="L13" s="142">
        <f>1/6.7287</f>
        <v>0.14861711771961894</v>
      </c>
      <c r="M13" s="142">
        <f>1/6.5159</f>
        <v>0.15347074080326586</v>
      </c>
      <c r="N13" s="142">
        <f>1/6.9179</f>
        <v>0.14455253761979792</v>
      </c>
      <c r="O13" s="143">
        <f>1/6.7686</f>
        <v>0.14774103950595396</v>
      </c>
      <c r="P13" s="142">
        <f>1/6.6633</f>
        <v>0.1500757882730779</v>
      </c>
      <c r="Q13" s="142">
        <f>1/6.5537</f>
        <v>0.15258556235409004</v>
      </c>
      <c r="R13" s="142">
        <f>1/6.7821</f>
        <v>0.14744695595759427</v>
      </c>
      <c r="S13" s="142">
        <f>1/6.4381</f>
        <v>0.15532532890138395</v>
      </c>
      <c r="T13" s="142">
        <f>1/6.1287</f>
        <v>0.1631667400916997</v>
      </c>
      <c r="U13" s="142">
        <f>1/6.4575</f>
        <v>0.1548586914440573</v>
      </c>
      <c r="V13" s="142">
        <f>1/6.5469</f>
        <v>0.15274404680077594</v>
      </c>
      <c r="W13" s="142">
        <f>1/6.3876</f>
        <v>0.15655332206149414</v>
      </c>
      <c r="X13" s="142">
        <f>1/6.0558</f>
        <v>0.16513094884243207</v>
      </c>
      <c r="Y13" s="142">
        <f>1/5.7323</f>
        <v>0.17445004622926225</v>
      </c>
      <c r="Z13" s="142">
        <f>1/5.9698</f>
        <v>0.1675097993232604</v>
      </c>
      <c r="AA13" s="142">
        <f>1/6.0161</f>
        <v>0.16622064127923405</v>
      </c>
      <c r="AB13" s="142">
        <f>1/6.0101</f>
        <v>0.16638658258598024</v>
      </c>
      <c r="AC13" s="142">
        <f>1/6.1521</f>
        <v>0.16254612246224867</v>
      </c>
      <c r="AD13" s="142">
        <f>1/6.3314</f>
        <v>0.1579429510060966</v>
      </c>
      <c r="AE13" s="142">
        <f>1/6.75</f>
        <v>0.14814814814814814</v>
      </c>
      <c r="AF13" s="142">
        <f>1/6.7035</f>
        <v>0.14917580368464234</v>
      </c>
      <c r="AG13" s="142">
        <f>1/6.465</f>
        <v>0.15467904098994587</v>
      </c>
      <c r="AH13" s="142">
        <f>1/6.3578</f>
        <v>0.1572871118940514</v>
      </c>
      <c r="AI13" s="142">
        <f>1/6.5766</f>
        <v>0.15205425295745523</v>
      </c>
      <c r="AJ13" s="142">
        <f>1/6.521</f>
        <v>0.15335071308081583</v>
      </c>
      <c r="AK13" s="142">
        <f>1/6.3591</f>
        <v>0.157254957462534</v>
      </c>
      <c r="AL13" s="142">
        <f>1/6.0891</f>
        <v>0.1642278826099095</v>
      </c>
      <c r="AM13" s="142">
        <f>1/6.1177</f>
        <v>0.16346012390277392</v>
      </c>
      <c r="AN13" s="142">
        <f>1/6.2544</f>
        <v>0.15988743924277307</v>
      </c>
      <c r="AO13" s="142">
        <f>1/6.072</f>
        <v>0.16469038208168643</v>
      </c>
      <c r="AP13" s="142">
        <f>1/6.3199</f>
        <v>0.15823035174607195</v>
      </c>
      <c r="AQ13" s="142">
        <f>1/6.9549</f>
        <v>0.14378351953299112</v>
      </c>
      <c r="AR13" s="142">
        <f>1/7.0843</f>
        <v>0.14115720678119223</v>
      </c>
      <c r="AS13" s="142">
        <f>1/6.9553</f>
        <v>0.14377525052837403</v>
      </c>
      <c r="AT13" s="142">
        <f>1/7.4098</f>
        <v>0.1349564090798672</v>
      </c>
      <c r="AU13" s="142">
        <f>1/7.6492</f>
        <v>0.13073262563405322</v>
      </c>
    </row>
    <row r="14" spans="2:47" ht="19.5" customHeight="1">
      <c r="B14" s="123" t="s">
        <v>34</v>
      </c>
      <c r="C14" s="124"/>
      <c r="D14" s="124"/>
      <c r="E14" s="124"/>
      <c r="F14" s="139"/>
      <c r="G14" s="139"/>
      <c r="H14" s="139"/>
      <c r="I14" s="126"/>
      <c r="J14" s="126"/>
      <c r="K14" s="126"/>
      <c r="L14" s="126"/>
      <c r="M14" s="127"/>
      <c r="N14" s="126"/>
      <c r="O14" s="128"/>
      <c r="P14" s="129"/>
      <c r="Q14" s="126"/>
      <c r="R14" s="129"/>
      <c r="S14" s="12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</row>
    <row r="15" spans="2:47" ht="19.5" customHeight="1">
      <c r="B15" s="123" t="s">
        <v>35</v>
      </c>
      <c r="C15" s="141"/>
      <c r="D15" s="141">
        <f>1/12.7437</f>
        <v>0.07847014603294176</v>
      </c>
      <c r="E15" s="141">
        <f>1/12.124</f>
        <v>0.08248102936324644</v>
      </c>
      <c r="F15" s="142">
        <f>1/12.4393</f>
        <v>0.08039037566422548</v>
      </c>
      <c r="G15" s="142">
        <f>1/13.1219</f>
        <v>0.07620847590669035</v>
      </c>
      <c r="H15" s="142">
        <f>1/12.26</f>
        <v>0.08156606851549755</v>
      </c>
      <c r="I15" s="142">
        <f>1/11.7868</f>
        <v>0.08484066922319884</v>
      </c>
      <c r="J15" s="142">
        <f>1/11.702</f>
        <v>0.08545547769612032</v>
      </c>
      <c r="K15" s="142">
        <f>1/11.6744</f>
        <v>0.08565750702391557</v>
      </c>
      <c r="L15" s="142">
        <f>1/11.3692</f>
        <v>0.08795693628399535</v>
      </c>
      <c r="M15" s="142">
        <f>1/11.3073</f>
        <v>0.08843844242215207</v>
      </c>
      <c r="N15" s="142">
        <f>1/12.5935</f>
        <v>0.07940604279985707</v>
      </c>
      <c r="O15" s="143">
        <f>1/12.6411</f>
        <v>0.07910703973546607</v>
      </c>
      <c r="P15" s="142">
        <f>1/12.1204</f>
        <v>0.08250552787036732</v>
      </c>
      <c r="Q15" s="142">
        <f>1/11.8224</f>
        <v>0.08458519420760591</v>
      </c>
      <c r="R15" s="142">
        <f>1/12.1262</f>
        <v>0.08246606521416437</v>
      </c>
      <c r="S15" s="142">
        <f>1/11.7619</f>
        <v>0.08502027733614466</v>
      </c>
      <c r="T15" s="142">
        <f>1/11.2923</f>
        <v>0.08855591863482197</v>
      </c>
      <c r="U15" s="142">
        <f>1/11.7446</f>
        <v>0.08514551368288405</v>
      </c>
      <c r="V15" s="142">
        <f>1/11.736</f>
        <v>0.08520790729379686</v>
      </c>
      <c r="W15" s="142">
        <f>1/11.5461</f>
        <v>0.08660933128935312</v>
      </c>
      <c r="X15" s="142">
        <f>1/11.2483</f>
        <v>0.08890232301770044</v>
      </c>
      <c r="Y15" s="142">
        <f>1/11.601</f>
        <v>0.0861994655633135</v>
      </c>
      <c r="Z15" s="142">
        <f>1/11.2168</f>
        <v>0.08915198630625491</v>
      </c>
      <c r="AA15" s="142">
        <f>1/11.3535</f>
        <v>0.08807856608094419</v>
      </c>
      <c r="AB15" s="142">
        <f>1/11.8847</f>
        <v>0.08414179575420498</v>
      </c>
      <c r="AC15" s="142">
        <f>1/11.6567</f>
        <v>0.08578757281220242</v>
      </c>
      <c r="AD15" s="142">
        <f>1/11.7446</f>
        <v>0.08514551368288405</v>
      </c>
      <c r="AE15" s="142">
        <f>1/12.282</f>
        <v>0.08141996417521576</v>
      </c>
      <c r="AF15" s="142">
        <f>1/11.7407</f>
        <v>0.08517379713304998</v>
      </c>
      <c r="AG15" s="142">
        <f>1/11.5992</f>
        <v>0.0862128422649838</v>
      </c>
      <c r="AH15" s="142">
        <f>1/11.4978</f>
        <v>0.08697316008279846</v>
      </c>
      <c r="AI15" s="142">
        <f>1/11.5989</f>
        <v>0.08621507211890782</v>
      </c>
      <c r="AJ15" s="142">
        <f>1/11.2213</f>
        <v>0.08911623430440324</v>
      </c>
      <c r="AK15" s="142">
        <f>1/11.1059</f>
        <v>0.0900422298057789</v>
      </c>
      <c r="AL15" s="142">
        <f>1/10.7529</f>
        <v>0.09299816793609166</v>
      </c>
      <c r="AM15" s="142">
        <f>1/10.6948</f>
        <v>0.09350338482253057</v>
      </c>
      <c r="AN15" s="142">
        <f>1/10.907</f>
        <v>0.09168423947923351</v>
      </c>
      <c r="AO15" s="142">
        <f>1/10.7206</f>
        <v>0.09327836128574894</v>
      </c>
      <c r="AP15" s="142">
        <f>1/11.806</f>
        <v>0.08470269354565475</v>
      </c>
      <c r="AQ15" s="142">
        <f>1/12.8291</f>
        <v>0.07794779056987629</v>
      </c>
      <c r="AR15" s="142">
        <f>1/13.0643</f>
        <v>0.07654447616787735</v>
      </c>
      <c r="AS15" s="142">
        <f>1/13.1608</f>
        <v>0.07598322290438271</v>
      </c>
      <c r="AT15" s="142">
        <f>1/13.9706</f>
        <v>0.07157888709146351</v>
      </c>
      <c r="AU15" s="142">
        <f>1/14.3415</f>
        <v>0.069727713279643</v>
      </c>
    </row>
    <row r="16" spans="2:47" ht="19.5" customHeight="1">
      <c r="B16" s="123" t="s">
        <v>36</v>
      </c>
      <c r="C16" s="141"/>
      <c r="D16" s="141">
        <f>1/0.0679</f>
        <v>14.727540500736376</v>
      </c>
      <c r="E16" s="141">
        <f>1/0.0642</f>
        <v>15.576323987538942</v>
      </c>
      <c r="F16" s="142">
        <f>1/0.0654</f>
        <v>15.290519877675841</v>
      </c>
      <c r="G16" s="142">
        <f>1/0.0668</f>
        <v>14.970059880239521</v>
      </c>
      <c r="H16" s="142">
        <f>1/0.0636</f>
        <v>15.723270440251572</v>
      </c>
      <c r="I16" s="142">
        <f>1/0.0622</f>
        <v>16.077170418006432</v>
      </c>
      <c r="J16" s="142">
        <f>1/0.0636</f>
        <v>15.723270440251572</v>
      </c>
      <c r="K16" s="142">
        <f>1/0.0636</f>
        <v>15.723270440251572</v>
      </c>
      <c r="L16" s="142">
        <f>1/0.0616</f>
        <v>16.233766233766232</v>
      </c>
      <c r="M16" s="142">
        <f>1/0.0604</f>
        <v>16.556291390728475</v>
      </c>
      <c r="N16" s="142">
        <f>1/0.065</f>
        <v>15.384615384615383</v>
      </c>
      <c r="O16" s="143">
        <f>1/0.0695</f>
        <v>14.388489208633093</v>
      </c>
      <c r="P16" s="142">
        <f>1/0.0611</f>
        <v>16.366612111292962</v>
      </c>
      <c r="Q16" s="142">
        <f>1/0.061</f>
        <v>16.39344262295082</v>
      </c>
      <c r="R16" s="142">
        <f>1/0.0606</f>
        <v>16.5016501650165</v>
      </c>
      <c r="S16" s="142">
        <f>1/0.0588</f>
        <v>17.006802721088437</v>
      </c>
      <c r="T16" s="142">
        <f>1/0.0561</f>
        <v>17.825311942959004</v>
      </c>
      <c r="U16" s="142">
        <f>1/0.0505</f>
        <v>19.801980198019802</v>
      </c>
      <c r="V16" s="142">
        <f>1/0.0595</f>
        <v>16.80672268907563</v>
      </c>
      <c r="W16" s="142">
        <f>1/0.0587</f>
        <v>17.035775127768314</v>
      </c>
      <c r="X16" s="142">
        <f>1/0.0578</f>
        <v>17.301038062283737</v>
      </c>
      <c r="Y16" s="142">
        <f>1/0.052</f>
        <v>19.23076923076923</v>
      </c>
      <c r="Z16" s="142">
        <f>1/0.0578</f>
        <v>17.301038062283737</v>
      </c>
      <c r="AA16" s="142">
        <f>1/0.0574</f>
        <v>17.421602787456447</v>
      </c>
      <c r="AB16" s="142">
        <f>1/0.0572</f>
        <v>17.482517482517483</v>
      </c>
      <c r="AC16" s="142">
        <f>1/0.0572</f>
        <v>17.482517482517483</v>
      </c>
      <c r="AD16" s="142">
        <f>1/0.0594</f>
        <v>16.835016835016834</v>
      </c>
      <c r="AE16" s="142">
        <f>1/0.0621</f>
        <v>16.10305958132045</v>
      </c>
      <c r="AF16" s="142">
        <f>1/0.0599</f>
        <v>16.69449081803005</v>
      </c>
      <c r="AG16" s="142">
        <f>1/0.0585</f>
        <v>17.094017094017094</v>
      </c>
      <c r="AH16" s="142">
        <f>1/0.0573</f>
        <v>17.452006980802793</v>
      </c>
      <c r="AI16" s="142">
        <f>1/0.0573</f>
        <v>17.452006980802793</v>
      </c>
      <c r="AJ16" s="142">
        <f>1/0.0545</f>
        <v>18.34862385321101</v>
      </c>
      <c r="AK16" s="142">
        <f>1/0.0536</f>
        <v>18.65671641791045</v>
      </c>
      <c r="AL16" s="142">
        <f>1/0.0528</f>
        <v>18.93939393939394</v>
      </c>
      <c r="AM16" s="142">
        <f>1/0.0519</f>
        <v>19.267822736030826</v>
      </c>
      <c r="AN16" s="142">
        <f>1/0.0533</f>
        <v>18.76172607879925</v>
      </c>
      <c r="AO16" s="142">
        <f>1/0.0518</f>
        <v>19.305019305019304</v>
      </c>
      <c r="AP16" s="142">
        <f>1/0.0566</f>
        <v>17.6678445229682</v>
      </c>
      <c r="AQ16" s="142">
        <f>1/0.0607</f>
        <v>16.474464579901156</v>
      </c>
      <c r="AR16" s="142">
        <f>1/0.0613</f>
        <v>16.31321370309951</v>
      </c>
      <c r="AS16" s="142">
        <f>1/0.06</f>
        <v>16.666666666666668</v>
      </c>
      <c r="AT16" s="142">
        <f>1/0.0633</f>
        <v>15.797788309636653</v>
      </c>
      <c r="AU16" s="142">
        <f>1/0.0645</f>
        <v>15.503875968992247</v>
      </c>
    </row>
    <row r="17" spans="2:47" ht="19.5" customHeight="1">
      <c r="B17" s="123" t="s">
        <v>37</v>
      </c>
      <c r="C17" s="144"/>
      <c r="D17" s="144"/>
      <c r="E17" s="144"/>
      <c r="F17" s="126"/>
      <c r="G17" s="126"/>
      <c r="H17" s="126"/>
      <c r="I17" s="126"/>
      <c r="J17" s="126"/>
      <c r="K17" s="126"/>
      <c r="L17" s="126"/>
      <c r="M17" s="126"/>
      <c r="N17" s="126"/>
      <c r="O17" s="128"/>
      <c r="P17" s="129"/>
      <c r="Q17" s="126"/>
      <c r="R17" s="129"/>
      <c r="S17" s="129"/>
      <c r="T17" s="129"/>
      <c r="U17" s="129"/>
      <c r="V17" s="129"/>
      <c r="W17" s="129"/>
      <c r="X17" s="129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</row>
    <row r="18" spans="2:47" ht="19.5" customHeight="1">
      <c r="B18" s="114"/>
      <c r="C18" s="145"/>
      <c r="D18" s="145"/>
      <c r="E18" s="146"/>
      <c r="F18" s="115"/>
      <c r="G18" s="115"/>
      <c r="H18" s="115"/>
      <c r="I18" s="147"/>
      <c r="J18" s="147"/>
      <c r="K18" s="115"/>
      <c r="L18" s="115"/>
      <c r="M18" s="118"/>
      <c r="N18" s="147"/>
      <c r="O18" s="118"/>
      <c r="P18" s="116"/>
      <c r="Q18" s="115"/>
      <c r="R18" s="116"/>
      <c r="S18" s="116"/>
      <c r="T18" s="119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</row>
    <row r="19" spans="2:47" ht="19.5" customHeight="1">
      <c r="B19" s="114"/>
      <c r="C19" s="145"/>
      <c r="D19" s="145"/>
      <c r="E19" s="114"/>
      <c r="F19" s="115"/>
      <c r="G19" s="115"/>
      <c r="H19" s="115"/>
      <c r="I19" s="116"/>
      <c r="J19" s="116"/>
      <c r="K19" s="115"/>
      <c r="L19" s="115"/>
      <c r="M19" s="117"/>
      <c r="N19" s="116"/>
      <c r="O19" s="118"/>
      <c r="P19" s="116"/>
      <c r="Q19" s="115"/>
      <c r="R19" s="116"/>
      <c r="S19" s="116"/>
      <c r="T19" s="119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</row>
    <row r="20" spans="2:47" ht="19.5" customHeight="1">
      <c r="B20" s="148" t="s">
        <v>39</v>
      </c>
      <c r="C20" s="145"/>
      <c r="D20" s="145"/>
      <c r="E20" s="114"/>
      <c r="F20" s="115"/>
      <c r="G20" s="115"/>
      <c r="H20" s="115"/>
      <c r="I20" s="116"/>
      <c r="J20" s="116"/>
      <c r="K20" s="115"/>
      <c r="L20" s="115"/>
      <c r="M20" s="117"/>
      <c r="N20" s="116"/>
      <c r="O20" s="118"/>
      <c r="P20" s="116"/>
      <c r="Q20" s="115"/>
      <c r="R20" s="116"/>
      <c r="S20" s="116"/>
      <c r="T20" s="119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</row>
    <row r="21" spans="2:47" ht="19.5" customHeight="1" thickBot="1">
      <c r="B21" s="149" t="s">
        <v>38</v>
      </c>
      <c r="C21" s="150"/>
      <c r="D21" s="150"/>
      <c r="E21" s="151"/>
      <c r="F21" s="152"/>
      <c r="G21" s="152"/>
      <c r="H21" s="152"/>
      <c r="I21" s="153"/>
      <c r="J21" s="153"/>
      <c r="K21" s="152"/>
      <c r="L21" s="152"/>
      <c r="M21" s="154"/>
      <c r="N21" s="153"/>
      <c r="O21" s="155"/>
      <c r="P21" s="153"/>
      <c r="Q21" s="152"/>
      <c r="R21" s="153"/>
      <c r="S21" s="153"/>
      <c r="T21" s="15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</row>
    <row r="22" ht="19.5" customHeight="1">
      <c r="B22" s="172" t="s">
        <v>152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workbookViewId="0" topLeftCell="B15">
      <selection activeCell="A4" sqref="A4:P63"/>
    </sheetView>
  </sheetViews>
  <sheetFormatPr defaultColWidth="9.140625" defaultRowHeight="12"/>
  <cols>
    <col min="11" max="11" width="8.7109375" style="0" customWidth="1"/>
  </cols>
  <sheetData>
    <row r="2" spans="1:15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3" t="s">
        <v>159</v>
      </c>
      <c r="B4" s="193"/>
      <c r="C4" s="193"/>
      <c r="D4" s="193"/>
      <c r="E4" s="193"/>
      <c r="F4" s="193"/>
      <c r="G4" s="193"/>
      <c r="H4" s="193"/>
      <c r="I4" s="193"/>
      <c r="J4" s="193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3" t="s">
        <v>160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2"/>
  <sheetViews>
    <sheetView workbookViewId="0" topLeftCell="A1">
      <selection activeCell="D49" sqref="D49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4" t="s">
        <v>93</v>
      </c>
      <c r="C2" s="194"/>
      <c r="D2" s="194"/>
      <c r="E2" s="194"/>
      <c r="F2" s="194"/>
    </row>
    <row r="3" spans="2:6" ht="11.25">
      <c r="B3" s="195" t="s">
        <v>101</v>
      </c>
      <c r="C3" s="195"/>
      <c r="D3" s="195"/>
      <c r="E3" s="195"/>
      <c r="F3" s="195"/>
    </row>
    <row r="4" spans="2:6" ht="11.25">
      <c r="B4" s="64"/>
      <c r="C4" s="65"/>
      <c r="D4" s="65"/>
      <c r="E4" s="63" t="s">
        <v>94</v>
      </c>
      <c r="F4" s="77" t="s">
        <v>111</v>
      </c>
    </row>
    <row r="5" spans="2:6" ht="11.25">
      <c r="B5" s="66"/>
      <c r="C5" s="67">
        <v>38990</v>
      </c>
      <c r="D5" s="67">
        <v>39021</v>
      </c>
      <c r="E5" s="68" t="s">
        <v>46</v>
      </c>
      <c r="F5" s="68" t="s">
        <v>46</v>
      </c>
    </row>
    <row r="6" spans="2:6" ht="11.25">
      <c r="B6" s="167" t="s">
        <v>60</v>
      </c>
      <c r="C6" s="103">
        <v>4630.636414070001</v>
      </c>
      <c r="D6" s="103">
        <v>5542.118063889999</v>
      </c>
      <c r="E6" s="103">
        <v>911.481649819998</v>
      </c>
      <c r="F6" s="105">
        <v>19.683723106623056</v>
      </c>
    </row>
    <row r="7" spans="2:6" ht="11.25">
      <c r="B7" s="167" t="s">
        <v>61</v>
      </c>
      <c r="C7" s="103">
        <v>3517.00006375</v>
      </c>
      <c r="D7" s="103">
        <v>4495.200458199999</v>
      </c>
      <c r="E7" s="103">
        <v>978.2003944499988</v>
      </c>
      <c r="F7" s="105">
        <v>27.813488106878026</v>
      </c>
    </row>
    <row r="8" spans="2:6" ht="11.25">
      <c r="B8" s="168" t="s">
        <v>62</v>
      </c>
      <c r="C8" s="104">
        <v>3337.67077202</v>
      </c>
      <c r="D8" s="104">
        <v>4299.9419775999995</v>
      </c>
      <c r="E8" s="104">
        <v>962.2712055799993</v>
      </c>
      <c r="F8" s="106">
        <v>28.830620852326327</v>
      </c>
    </row>
    <row r="9" spans="2:6" ht="11.25">
      <c r="B9" s="168" t="s">
        <v>63</v>
      </c>
      <c r="C9" s="104">
        <v>7E-08</v>
      </c>
      <c r="D9" s="104">
        <v>-5.0000000000000004E-08</v>
      </c>
      <c r="E9" s="104">
        <v>-1.2000000000000002E-07</v>
      </c>
      <c r="F9" s="106">
        <v>0</v>
      </c>
    </row>
    <row r="10" spans="2:6" ht="11.25">
      <c r="B10" s="168" t="s">
        <v>64</v>
      </c>
      <c r="C10" s="104">
        <v>179.32929166</v>
      </c>
      <c r="D10" s="104">
        <v>195.25848065000002</v>
      </c>
      <c r="E10" s="104">
        <v>15.929188990000029</v>
      </c>
      <c r="F10" s="106">
        <v>8.882647582304083</v>
      </c>
    </row>
    <row r="11" spans="2:6" ht="11.25">
      <c r="B11" s="167" t="s">
        <v>65</v>
      </c>
      <c r="C11" s="103">
        <v>1113.63635032</v>
      </c>
      <c r="D11" s="103">
        <v>1046.91760569</v>
      </c>
      <c r="E11" s="103">
        <v>-66.71874462999995</v>
      </c>
      <c r="F11" s="105">
        <v>-5.991071018005879</v>
      </c>
    </row>
    <row r="12" spans="2:6" ht="11.25">
      <c r="B12" s="168" t="s">
        <v>143</v>
      </c>
      <c r="C12" s="104">
        <v>1099.16587733</v>
      </c>
      <c r="D12" s="104">
        <v>1031.84852793</v>
      </c>
      <c r="E12" s="104">
        <v>-67.31734940000001</v>
      </c>
      <c r="F12" s="106">
        <v>-6.12440313044666</v>
      </c>
    </row>
    <row r="13" spans="2:6" ht="11.25">
      <c r="B13" s="168" t="s">
        <v>95</v>
      </c>
      <c r="C13" s="104">
        <v>0</v>
      </c>
      <c r="D13" s="104">
        <v>0</v>
      </c>
      <c r="E13" s="104">
        <v>0</v>
      </c>
      <c r="F13" s="106">
        <v>0</v>
      </c>
    </row>
    <row r="14" spans="2:6" ht="11.25">
      <c r="B14" s="168" t="s">
        <v>66</v>
      </c>
      <c r="C14" s="104">
        <v>14.470472990000003</v>
      </c>
      <c r="D14" s="104">
        <v>15.06907776</v>
      </c>
      <c r="E14" s="104">
        <v>0.5986047699999979</v>
      </c>
      <c r="F14" s="106">
        <v>4.136732575456732</v>
      </c>
    </row>
    <row r="15" spans="2:6" ht="11.25">
      <c r="B15" s="169"/>
      <c r="C15" s="103"/>
      <c r="D15" s="103"/>
      <c r="E15" s="103"/>
      <c r="F15" s="105"/>
    </row>
    <row r="16" spans="2:6" ht="11.25">
      <c r="B16" s="167" t="s">
        <v>67</v>
      </c>
      <c r="C16" s="103">
        <v>4630.581614830001</v>
      </c>
      <c r="D16" s="103">
        <v>5542.090680333004</v>
      </c>
      <c r="E16" s="103">
        <v>911.5090655030026</v>
      </c>
      <c r="F16" s="105">
        <v>19.684548104794956</v>
      </c>
    </row>
    <row r="17" spans="2:6" ht="11.25">
      <c r="B17" s="167" t="s">
        <v>68</v>
      </c>
      <c r="C17" s="103">
        <v>1458.9533965100013</v>
      </c>
      <c r="D17" s="103">
        <v>1445.3159149600021</v>
      </c>
      <c r="E17" s="103">
        <v>-13.637481549999166</v>
      </c>
      <c r="F17" s="105">
        <v>-0.934744151706403</v>
      </c>
    </row>
    <row r="18" spans="2:6" ht="11.25">
      <c r="B18" s="168" t="s">
        <v>69</v>
      </c>
      <c r="C18" s="104">
        <v>1041.3235417</v>
      </c>
      <c r="D18" s="104">
        <v>1072.12020145</v>
      </c>
      <c r="E18" s="104">
        <v>30.79665974999989</v>
      </c>
      <c r="F18" s="106">
        <v>2.9574535210951995</v>
      </c>
    </row>
    <row r="19" spans="2:6" ht="11.25">
      <c r="B19" s="168" t="s">
        <v>70</v>
      </c>
      <c r="C19" s="104">
        <v>417.62985481000135</v>
      </c>
      <c r="D19" s="104">
        <v>373.1957135100021</v>
      </c>
      <c r="E19" s="104">
        <v>-44.434141299999226</v>
      </c>
      <c r="F19" s="106">
        <v>-10.639598866851681</v>
      </c>
    </row>
    <row r="20" spans="2:6" ht="11.25">
      <c r="B20" s="167" t="s">
        <v>144</v>
      </c>
      <c r="C20" s="103">
        <v>2919.4864174900003</v>
      </c>
      <c r="D20" s="103">
        <v>3851.255729550001</v>
      </c>
      <c r="E20" s="103">
        <v>931.7693120600006</v>
      </c>
      <c r="F20" s="105">
        <v>31.915521390268363</v>
      </c>
    </row>
    <row r="21" spans="2:6" ht="11.25">
      <c r="B21" s="168" t="s">
        <v>96</v>
      </c>
      <c r="C21" s="104">
        <v>1766.1223288900003</v>
      </c>
      <c r="D21" s="104">
        <v>2729.6397948900008</v>
      </c>
      <c r="E21" s="104">
        <v>963.5174660000005</v>
      </c>
      <c r="F21" s="106">
        <v>54.55553390832031</v>
      </c>
    </row>
    <row r="22" spans="2:6" ht="11.25">
      <c r="B22" s="170" t="s">
        <v>71</v>
      </c>
      <c r="C22" s="104">
        <v>1153.3640886</v>
      </c>
      <c r="D22" s="104">
        <v>1121.61593466</v>
      </c>
      <c r="E22" s="104">
        <v>-31.748153940000066</v>
      </c>
      <c r="F22" s="106">
        <v>-2.752656706915269</v>
      </c>
    </row>
    <row r="23" spans="2:6" ht="11.25">
      <c r="B23" s="104" t="s">
        <v>0</v>
      </c>
      <c r="C23" s="104">
        <v>3.96938004</v>
      </c>
      <c r="D23" s="104">
        <v>4.38899114</v>
      </c>
      <c r="E23" s="104">
        <v>0.4196111</v>
      </c>
      <c r="F23" s="106">
        <v>10.57119992975024</v>
      </c>
    </row>
    <row r="24" spans="2:6" ht="11.25">
      <c r="B24" s="104" t="s">
        <v>146</v>
      </c>
      <c r="C24" s="104">
        <v>397.7582178100001</v>
      </c>
      <c r="D24" s="104">
        <v>390.79179028299995</v>
      </c>
      <c r="E24" s="104">
        <v>-6.966427527000121</v>
      </c>
      <c r="F24" s="106">
        <v>-1.751422652021189</v>
      </c>
    </row>
    <row r="25" spans="2:6" ht="11.25">
      <c r="B25" s="103" t="s">
        <v>129</v>
      </c>
      <c r="C25" s="103">
        <v>-149.58579702</v>
      </c>
      <c r="D25" s="103">
        <v>-149.66174560000002</v>
      </c>
      <c r="E25" s="103">
        <v>-0.07594858000001636</v>
      </c>
      <c r="F25" s="105">
        <v>0.05077258771423456</v>
      </c>
    </row>
    <row r="26" spans="2:6" ht="12" customHeight="1" hidden="1" thickBot="1">
      <c r="B26" s="171" t="s">
        <v>90</v>
      </c>
      <c r="C26" s="162">
        <v>-0.01859214999967662</v>
      </c>
      <c r="D26" s="162">
        <v>-0.04520076000062545</v>
      </c>
      <c r="E26" s="162">
        <v>-0.02660861000094883</v>
      </c>
      <c r="F26" s="162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4" t="s">
        <v>93</v>
      </c>
      <c r="C30" s="194"/>
      <c r="D30" s="194"/>
      <c r="E30" s="194"/>
      <c r="F30" s="194"/>
    </row>
    <row r="31" spans="2:6" ht="11.25">
      <c r="B31" s="195" t="s">
        <v>72</v>
      </c>
      <c r="C31" s="195"/>
      <c r="D31" s="195"/>
      <c r="E31" s="195"/>
      <c r="F31" s="195"/>
    </row>
    <row r="32" spans="2:6" ht="11.25">
      <c r="B32" s="64"/>
      <c r="C32" s="64"/>
      <c r="D32" s="65"/>
      <c r="E32" s="63" t="s">
        <v>94</v>
      </c>
      <c r="F32" s="77" t="s">
        <v>111</v>
      </c>
    </row>
    <row r="33" spans="2:6" ht="11.25">
      <c r="B33" s="66"/>
      <c r="C33" s="67">
        <v>38990</v>
      </c>
      <c r="D33" s="67">
        <v>39021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34324.3627876</v>
      </c>
      <c r="D34" s="103">
        <v>35417.564079430005</v>
      </c>
      <c r="E34" s="103">
        <v>1093.2012918300024</v>
      </c>
      <c r="F34" s="105">
        <v>3.1849135804639954</v>
      </c>
    </row>
    <row r="35" spans="2:6" ht="11.25">
      <c r="B35" s="52" t="s">
        <v>61</v>
      </c>
      <c r="C35" s="103">
        <v>1795.43810797</v>
      </c>
      <c r="D35" s="103">
        <v>2427.2013597800005</v>
      </c>
      <c r="E35" s="103">
        <v>631.7632518100006</v>
      </c>
      <c r="F35" s="105">
        <v>35.18713616501654</v>
      </c>
    </row>
    <row r="36" spans="2:6" ht="11.25">
      <c r="B36" s="70" t="s">
        <v>73</v>
      </c>
      <c r="C36" s="104">
        <v>51.972107969999996</v>
      </c>
      <c r="D36" s="104">
        <v>56.809411850000004</v>
      </c>
      <c r="E36" s="104">
        <v>4.837303880000007</v>
      </c>
      <c r="F36" s="106">
        <v>9.307499866644351</v>
      </c>
    </row>
    <row r="37" spans="2:6" ht="11.25">
      <c r="B37" s="70" t="s">
        <v>62</v>
      </c>
      <c r="C37" s="104">
        <v>1700.023</v>
      </c>
      <c r="D37" s="104">
        <v>2330.5159479300005</v>
      </c>
      <c r="E37" s="104">
        <v>630.4929479300006</v>
      </c>
      <c r="F37" s="106">
        <v>37.08731869686473</v>
      </c>
    </row>
    <row r="38" spans="2:6" ht="11.25">
      <c r="B38" s="70" t="s">
        <v>74</v>
      </c>
      <c r="C38" s="104">
        <v>43.443</v>
      </c>
      <c r="D38" s="104">
        <v>39.876000000000005</v>
      </c>
      <c r="E38" s="104">
        <v>-3.566999999999993</v>
      </c>
      <c r="F38" s="106">
        <v>-8.210758925488555</v>
      </c>
    </row>
    <row r="39" spans="2:6" ht="11.25">
      <c r="B39" s="70" t="s">
        <v>75</v>
      </c>
      <c r="C39" s="104">
        <v>0</v>
      </c>
      <c r="D39" s="104">
        <v>0</v>
      </c>
      <c r="E39" s="104">
        <v>0</v>
      </c>
      <c r="F39" s="106">
        <v>0</v>
      </c>
    </row>
    <row r="40" spans="2:6" ht="11.25">
      <c r="B40" s="52" t="s">
        <v>65</v>
      </c>
      <c r="C40" s="103">
        <v>30877.894075490003</v>
      </c>
      <c r="D40" s="103">
        <v>31420.570763490003</v>
      </c>
      <c r="E40" s="103">
        <v>542.6766879999996</v>
      </c>
      <c r="F40" s="105">
        <v>1.7574925500854055</v>
      </c>
    </row>
    <row r="41" spans="2:6" ht="11.25">
      <c r="B41" s="70" t="s">
        <v>97</v>
      </c>
      <c r="C41" s="104">
        <v>671.86910803</v>
      </c>
      <c r="D41" s="104">
        <v>666.1977926700001</v>
      </c>
      <c r="E41" s="104">
        <v>-5.6713153599998805</v>
      </c>
      <c r="F41" s="106">
        <v>-0.8441101536322828</v>
      </c>
    </row>
    <row r="42" spans="2:6" ht="11.25">
      <c r="B42" s="70" t="s">
        <v>95</v>
      </c>
      <c r="C42" s="104">
        <v>2463.99993404</v>
      </c>
      <c r="D42" s="104">
        <v>2578.65173914</v>
      </c>
      <c r="E42" s="104">
        <v>114.65180509999982</v>
      </c>
      <c r="F42" s="106">
        <v>4.653076630242255</v>
      </c>
    </row>
    <row r="43" spans="2:6" ht="11.25">
      <c r="B43" s="70" t="s">
        <v>53</v>
      </c>
      <c r="C43" s="104">
        <v>731.942</v>
      </c>
      <c r="D43" s="104">
        <v>759.827</v>
      </c>
      <c r="E43" s="104">
        <v>27.885</v>
      </c>
      <c r="F43" s="106">
        <v>3.8097280932095696</v>
      </c>
    </row>
    <row r="44" spans="2:6" ht="11.25">
      <c r="B44" s="70" t="s">
        <v>98</v>
      </c>
      <c r="C44" s="104">
        <v>31.297</v>
      </c>
      <c r="D44" s="104">
        <v>37.614</v>
      </c>
      <c r="E44" s="104">
        <v>6.316999999999997</v>
      </c>
      <c r="F44" s="106">
        <v>20.18404319902865</v>
      </c>
    </row>
    <row r="45" spans="2:6" ht="11.25">
      <c r="B45" s="70" t="s">
        <v>108</v>
      </c>
      <c r="C45" s="104">
        <v>204.046</v>
      </c>
      <c r="D45" s="104">
        <v>198.355</v>
      </c>
      <c r="E45" s="104">
        <v>-5.690999999999974</v>
      </c>
      <c r="F45" s="106">
        <v>-2.789076972839445</v>
      </c>
    </row>
    <row r="46" spans="2:6" ht="11.25">
      <c r="B46" s="70" t="s">
        <v>76</v>
      </c>
      <c r="C46" s="104">
        <v>9264.81244724</v>
      </c>
      <c r="D46" s="104">
        <v>9499.803859860001</v>
      </c>
      <c r="E46" s="104">
        <v>234.99141262000194</v>
      </c>
      <c r="F46" s="106">
        <v>2.5363860732011494</v>
      </c>
    </row>
    <row r="47" spans="2:6" ht="11.25">
      <c r="B47" s="70" t="s">
        <v>54</v>
      </c>
      <c r="C47" s="104">
        <v>17509.92758618</v>
      </c>
      <c r="D47" s="104">
        <v>17680.12137182</v>
      </c>
      <c r="E47" s="104">
        <v>170.19378564</v>
      </c>
      <c r="F47" s="106">
        <v>0.9719845202234201</v>
      </c>
    </row>
    <row r="48" spans="2:6" ht="11.25">
      <c r="B48" s="74" t="s">
        <v>77</v>
      </c>
      <c r="C48" s="104">
        <v>1651.03060414</v>
      </c>
      <c r="D48" s="104">
        <v>1569.7919561600002</v>
      </c>
      <c r="E48" s="104">
        <v>-81.23864797999977</v>
      </c>
      <c r="F48" s="106">
        <v>-4.920481048400427</v>
      </c>
    </row>
    <row r="49" spans="2:6" ht="11.25">
      <c r="B49" s="75"/>
      <c r="C49" s="103"/>
      <c r="D49" s="103"/>
      <c r="E49" s="103"/>
      <c r="F49" s="106"/>
    </row>
    <row r="50" spans="2:6" ht="11.25">
      <c r="B50" s="52" t="s">
        <v>67</v>
      </c>
      <c r="C50" s="103">
        <v>34324.36308718946</v>
      </c>
      <c r="D50" s="103">
        <v>35417.56360100767</v>
      </c>
      <c r="E50" s="103">
        <v>1093.200513818214</v>
      </c>
      <c r="F50" s="105">
        <v>3.1849112860195166</v>
      </c>
    </row>
    <row r="51" spans="2:6" ht="11.25">
      <c r="B51" s="74" t="s">
        <v>78</v>
      </c>
      <c r="C51" s="103">
        <v>970.41508417</v>
      </c>
      <c r="D51" s="103">
        <v>1085.79056995</v>
      </c>
      <c r="E51" s="103">
        <v>115.37548577999996</v>
      </c>
      <c r="F51" s="105">
        <v>11.889292289668095</v>
      </c>
    </row>
    <row r="52" spans="2:6" ht="11.25">
      <c r="B52" s="70" t="s">
        <v>62</v>
      </c>
      <c r="C52" s="104">
        <v>587.9691234</v>
      </c>
      <c r="D52" s="104">
        <v>703.13834489</v>
      </c>
      <c r="E52" s="104">
        <v>115.16922149000004</v>
      </c>
      <c r="F52" s="106">
        <v>19.587630864699253</v>
      </c>
    </row>
    <row r="53" spans="2:6" ht="11.25">
      <c r="B53" s="70" t="s">
        <v>130</v>
      </c>
      <c r="C53" s="104">
        <v>164.554</v>
      </c>
      <c r="D53" s="104">
        <v>165.002</v>
      </c>
      <c r="E53" s="104">
        <v>0.4480000000000075</v>
      </c>
      <c r="F53" s="106">
        <v>0.27225105436513697</v>
      </c>
    </row>
    <row r="54" spans="2:6" ht="11.25">
      <c r="B54" s="70" t="s">
        <v>74</v>
      </c>
      <c r="C54" s="104">
        <v>217.89196077000005</v>
      </c>
      <c r="D54" s="104">
        <v>217.65022506</v>
      </c>
      <c r="E54" s="104">
        <v>-0.24173571000005722</v>
      </c>
      <c r="F54" s="106">
        <v>-0.11094292288058571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6">
        <v>0</v>
      </c>
    </row>
    <row r="56" spans="2:6" ht="11.25">
      <c r="B56" s="52" t="s">
        <v>80</v>
      </c>
      <c r="C56" s="103">
        <v>33353.94800301945</v>
      </c>
      <c r="D56" s="103">
        <v>34331.77303105767</v>
      </c>
      <c r="E56" s="103">
        <v>977.8250280382199</v>
      </c>
      <c r="F56" s="105">
        <v>2.9316620267852542</v>
      </c>
    </row>
    <row r="57" spans="2:6" ht="11.25">
      <c r="B57" s="70" t="s">
        <v>81</v>
      </c>
      <c r="C57" s="104">
        <v>20719.00316785</v>
      </c>
      <c r="D57" s="104">
        <v>21460.40381794</v>
      </c>
      <c r="E57" s="104">
        <v>741.4006500899995</v>
      </c>
      <c r="F57" s="106">
        <v>3.578360619397184</v>
      </c>
    </row>
    <row r="58" spans="2:6" ht="11.25">
      <c r="B58" s="76" t="s">
        <v>82</v>
      </c>
      <c r="C58" s="104">
        <v>12063.77294929</v>
      </c>
      <c r="D58" s="104">
        <v>13562.264634570001</v>
      </c>
      <c r="E58" s="104">
        <v>1498.4916852800015</v>
      </c>
      <c r="F58" s="106">
        <v>12.421418171403777</v>
      </c>
    </row>
    <row r="59" spans="2:6" ht="11.25">
      <c r="B59" s="76" t="s">
        <v>79</v>
      </c>
      <c r="C59" s="104">
        <v>8655.23021856</v>
      </c>
      <c r="D59" s="104">
        <v>7898.139183370001</v>
      </c>
      <c r="E59" s="104">
        <v>-757.0910351899993</v>
      </c>
      <c r="F59" s="106">
        <v>-8.747208520999445</v>
      </c>
    </row>
    <row r="60" spans="2:6" ht="11.25">
      <c r="B60" s="70" t="s">
        <v>166</v>
      </c>
      <c r="C60" s="104">
        <v>767.8048602</v>
      </c>
      <c r="D60" s="104">
        <v>1069.0184196</v>
      </c>
      <c r="E60" s="104">
        <v>301.2135594</v>
      </c>
      <c r="F60" s="106">
        <v>39.23048355301359</v>
      </c>
    </row>
    <row r="61" spans="2:6" ht="11.25">
      <c r="B61" s="70" t="s">
        <v>131</v>
      </c>
      <c r="C61" s="104">
        <v>5.8177571200000004</v>
      </c>
      <c r="D61" s="104">
        <v>5.861291169999999</v>
      </c>
      <c r="E61" s="104">
        <v>0.04353404999999899</v>
      </c>
      <c r="F61" s="106">
        <v>0.7482961062492582</v>
      </c>
    </row>
    <row r="62" spans="2:6" ht="11.25">
      <c r="B62" s="70" t="s">
        <v>132</v>
      </c>
      <c r="C62" s="104">
        <v>4018.832605479452</v>
      </c>
      <c r="D62" s="104">
        <v>4080.373995890411</v>
      </c>
      <c r="E62" s="104">
        <v>61.54139041095914</v>
      </c>
      <c r="F62" s="106">
        <v>1.5313250501414495</v>
      </c>
    </row>
    <row r="63" spans="2:6" ht="11.25">
      <c r="B63" s="70" t="s">
        <v>133</v>
      </c>
      <c r="C63" s="104">
        <v>514.29208597</v>
      </c>
      <c r="D63" s="104">
        <v>527.6171796812329</v>
      </c>
      <c r="E63" s="104">
        <v>13.325093711232853</v>
      </c>
      <c r="F63" s="106">
        <v>2.5909583434675176</v>
      </c>
    </row>
    <row r="64" spans="2:6" ht="11.25">
      <c r="B64" s="70" t="s">
        <v>134</v>
      </c>
      <c r="C64" s="104">
        <v>1230.03343114</v>
      </c>
      <c r="D64" s="104">
        <v>1145.3589115460275</v>
      </c>
      <c r="E64" s="104">
        <v>-84.67451959397249</v>
      </c>
      <c r="F64" s="106">
        <v>-6.883920180567434</v>
      </c>
    </row>
    <row r="65" spans="2:6" ht="11.25">
      <c r="B65" s="70" t="s">
        <v>74</v>
      </c>
      <c r="C65" s="104">
        <v>5.601</v>
      </c>
      <c r="D65" s="104">
        <v>2.2178400000000003</v>
      </c>
      <c r="E65" s="104">
        <v>-3.3831599999999997</v>
      </c>
      <c r="F65" s="106">
        <v>-60.40278521692555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6">
        <v>0</v>
      </c>
    </row>
    <row r="67" spans="2:6" ht="11.25">
      <c r="B67" s="70" t="s">
        <v>83</v>
      </c>
      <c r="C67" s="104">
        <v>4264.964249039999</v>
      </c>
      <c r="D67" s="104">
        <v>4344.06574264</v>
      </c>
      <c r="E67" s="104">
        <v>79.10149360000105</v>
      </c>
      <c r="F67" s="106">
        <v>1.8546812817435927</v>
      </c>
    </row>
    <row r="68" spans="2:6" ht="11.25">
      <c r="B68" s="70" t="s">
        <v>135</v>
      </c>
      <c r="C68" s="104">
        <v>1827.58796105</v>
      </c>
      <c r="D68" s="104">
        <v>1696.8601433899998</v>
      </c>
      <c r="E68" s="104">
        <v>-130.72781766000026</v>
      </c>
      <c r="F68" s="106">
        <v>-7.15302466672485</v>
      </c>
    </row>
    <row r="69" spans="2:6" ht="11.25">
      <c r="B69" s="70" t="s">
        <v>136</v>
      </c>
      <c r="C69" s="104">
        <v>0.010885170000022981</v>
      </c>
      <c r="D69" s="104">
        <v>-0.00431080000001316</v>
      </c>
      <c r="E69" s="104">
        <v>-0.01519597000003614</v>
      </c>
      <c r="F69" s="104">
        <v>-0.01519597000003614</v>
      </c>
    </row>
    <row r="70" spans="2:6" ht="12" customHeight="1" hidden="1" thickBot="1">
      <c r="B70" s="70" t="s">
        <v>136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63">
        <v>-0.0001529200017102994</v>
      </c>
      <c r="D71" s="163">
        <v>7.900999844423495E-05</v>
      </c>
      <c r="E71" s="163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4" t="s">
        <v>151</v>
      </c>
      <c r="C77" s="194"/>
      <c r="D77" s="194"/>
      <c r="E77" s="194"/>
      <c r="F77" s="194"/>
    </row>
    <row r="78" spans="2:6" ht="11.25">
      <c r="B78" s="195" t="s">
        <v>92</v>
      </c>
      <c r="C78" s="195"/>
      <c r="D78" s="195"/>
      <c r="E78" s="195"/>
      <c r="F78" s="195"/>
    </row>
    <row r="79" spans="2:6" ht="11.25">
      <c r="B79" s="64"/>
      <c r="C79" s="65"/>
      <c r="D79" s="65"/>
      <c r="E79" s="63" t="s">
        <v>94</v>
      </c>
      <c r="F79" s="77" t="s">
        <v>111</v>
      </c>
    </row>
    <row r="80" spans="2:6" ht="11.25">
      <c r="B80" s="66"/>
      <c r="C80" s="67">
        <v>38990</v>
      </c>
      <c r="D80" s="67">
        <v>39021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33703.31087606</v>
      </c>
      <c r="D81" s="103">
        <v>34779.87230533577</v>
      </c>
      <c r="E81" s="103">
        <v>1076.5614292757673</v>
      </c>
      <c r="F81" s="105">
        <v>3.1942304814939293</v>
      </c>
      <c r="G81" s="92"/>
      <c r="H81" s="92"/>
      <c r="I81" s="91"/>
    </row>
    <row r="82" spans="2:9" ht="11.25">
      <c r="B82" s="51" t="s">
        <v>1</v>
      </c>
      <c r="C82" s="103">
        <v>3944.26486974</v>
      </c>
      <c r="D82" s="103">
        <v>5445.819457746999</v>
      </c>
      <c r="E82" s="103">
        <v>1501.5545880069994</v>
      </c>
      <c r="F82" s="105">
        <v>38.06931424729545</v>
      </c>
      <c r="G82" s="92"/>
      <c r="H82" s="92"/>
      <c r="I82" s="91"/>
    </row>
    <row r="83" spans="2:8" ht="11.25">
      <c r="B83" s="51" t="s">
        <v>84</v>
      </c>
      <c r="C83" s="103">
        <v>27940.08102559</v>
      </c>
      <c r="D83" s="103">
        <v>27512.18507400877</v>
      </c>
      <c r="E83" s="103">
        <v>-427.8959515812312</v>
      </c>
      <c r="F83" s="105">
        <v>-1.5314771320431253</v>
      </c>
      <c r="G83" s="93"/>
      <c r="H83" s="93"/>
    </row>
    <row r="84" spans="2:8" ht="11.25">
      <c r="B84" s="53" t="s">
        <v>137</v>
      </c>
      <c r="C84" s="104">
        <v>183.58551917999966</v>
      </c>
      <c r="D84" s="104">
        <v>-678.6052354312337</v>
      </c>
      <c r="E84" s="104">
        <v>-862.1907546112334</v>
      </c>
      <c r="F84" s="106">
        <v>-469.6398487540203</v>
      </c>
      <c r="G84" s="93"/>
      <c r="H84" s="93"/>
    </row>
    <row r="85" spans="2:8" ht="11.25">
      <c r="B85" s="53" t="s">
        <v>85</v>
      </c>
      <c r="C85" s="104">
        <v>27756.49550641</v>
      </c>
      <c r="D85" s="104">
        <v>28190.790309440003</v>
      </c>
      <c r="E85" s="104">
        <v>434.2948030300031</v>
      </c>
      <c r="F85" s="106">
        <v>1.5646600736382892</v>
      </c>
      <c r="G85" s="93"/>
      <c r="H85" s="93"/>
    </row>
    <row r="86" spans="2:8" ht="11.25">
      <c r="B86" s="164" t="s">
        <v>138</v>
      </c>
      <c r="C86" s="104">
        <v>731.942</v>
      </c>
      <c r="D86" s="104">
        <v>759.827</v>
      </c>
      <c r="E86" s="104">
        <v>27.885</v>
      </c>
      <c r="F86" s="106">
        <v>3.8097280932095696</v>
      </c>
      <c r="G86" s="93"/>
      <c r="H86" s="93"/>
    </row>
    <row r="87" spans="2:8" ht="11.25">
      <c r="B87" s="164" t="s">
        <v>139</v>
      </c>
      <c r="C87" s="104">
        <v>31.297</v>
      </c>
      <c r="D87" s="104">
        <v>37.614</v>
      </c>
      <c r="E87" s="104">
        <v>6.316999999999997</v>
      </c>
      <c r="F87" s="106">
        <v>20.18404319902865</v>
      </c>
      <c r="G87" s="93"/>
      <c r="H87" s="93"/>
    </row>
    <row r="88" spans="2:8" ht="11.25">
      <c r="B88" s="164" t="s">
        <v>140</v>
      </c>
      <c r="C88" s="104">
        <v>204.046</v>
      </c>
      <c r="D88" s="104">
        <v>198.355</v>
      </c>
      <c r="E88" s="104">
        <v>-5.690999999999974</v>
      </c>
      <c r="F88" s="106">
        <v>-2.789076972839445</v>
      </c>
      <c r="G88" s="93"/>
      <c r="H88" s="93"/>
    </row>
    <row r="89" spans="2:8" ht="11.25">
      <c r="B89" s="164" t="s">
        <v>141</v>
      </c>
      <c r="C89" s="104">
        <v>9264.81244724</v>
      </c>
      <c r="D89" s="104">
        <v>9499.803859860001</v>
      </c>
      <c r="E89" s="104">
        <v>234.99141262000194</v>
      </c>
      <c r="F89" s="106">
        <v>2.5363860732011494</v>
      </c>
      <c r="G89" s="93"/>
      <c r="H89" s="93"/>
    </row>
    <row r="90" spans="2:8" ht="11.25">
      <c r="B90" s="164" t="s">
        <v>142</v>
      </c>
      <c r="C90" s="104">
        <v>17524.398059170002</v>
      </c>
      <c r="D90" s="104">
        <v>17695.19044958</v>
      </c>
      <c r="E90" s="104">
        <v>170.79239040999892</v>
      </c>
      <c r="F90" s="106">
        <v>0.9745977569861709</v>
      </c>
      <c r="G90" s="93"/>
      <c r="H90" s="93"/>
    </row>
    <row r="91" spans="2:9" ht="11.25">
      <c r="B91" s="51" t="s">
        <v>77</v>
      </c>
      <c r="C91" s="104">
        <v>1818.96498073</v>
      </c>
      <c r="D91" s="104">
        <v>1821.8677735800002</v>
      </c>
      <c r="E91" s="104">
        <v>2.9027928500001963</v>
      </c>
      <c r="F91" s="106">
        <v>0.15958486725979887</v>
      </c>
      <c r="G91" s="92"/>
      <c r="H91" s="92"/>
      <c r="I91" s="91"/>
    </row>
    <row r="92" spans="2:8" ht="11.25">
      <c r="B92" s="30"/>
      <c r="C92" s="104"/>
      <c r="D92" s="104"/>
      <c r="E92" s="103"/>
      <c r="F92" s="105"/>
      <c r="G92" s="93"/>
      <c r="H92" s="93"/>
    </row>
    <row r="93" spans="2:9" ht="11.25">
      <c r="B93" s="51" t="s">
        <v>67</v>
      </c>
      <c r="C93" s="103">
        <v>33703.27230001945</v>
      </c>
      <c r="D93" s="103">
        <v>34779.860215786444</v>
      </c>
      <c r="E93" s="103">
        <v>1076.5879157669915</v>
      </c>
      <c r="F93" s="105">
        <v>3.194312724839986</v>
      </c>
      <c r="G93" s="92"/>
      <c r="H93" s="92"/>
      <c r="I93" s="91"/>
    </row>
    <row r="94" spans="2:8" ht="11.25">
      <c r="B94" s="51" t="s">
        <v>86</v>
      </c>
      <c r="C94" s="103">
        <v>21511.921311880003</v>
      </c>
      <c r="D94" s="103">
        <v>22238.09921033</v>
      </c>
      <c r="E94" s="103">
        <v>726.1778984499979</v>
      </c>
      <c r="F94" s="105">
        <v>3.375699863912038</v>
      </c>
      <c r="G94" s="93"/>
      <c r="H94" s="93"/>
    </row>
    <row r="95" spans="2:8" ht="11.25">
      <c r="B95" s="53" t="s">
        <v>165</v>
      </c>
      <c r="C95" s="104">
        <v>785.6441736700001</v>
      </c>
      <c r="D95" s="104">
        <v>771.96110754</v>
      </c>
      <c r="E95" s="104">
        <v>-13.683066130000157</v>
      </c>
      <c r="F95" s="106">
        <v>-1.7416365561628355</v>
      </c>
      <c r="G95" s="93"/>
      <c r="H95" s="93"/>
    </row>
    <row r="96" spans="2:8" ht="11.25">
      <c r="B96" s="53" t="s">
        <v>87</v>
      </c>
      <c r="C96" s="104">
        <v>12065.229162530002</v>
      </c>
      <c r="D96" s="104">
        <v>13562.13762825</v>
      </c>
      <c r="E96" s="104">
        <v>1496.9084657199983</v>
      </c>
      <c r="F96" s="106">
        <v>12.406796800584814</v>
      </c>
      <c r="G96" s="93"/>
      <c r="H96" s="93"/>
    </row>
    <row r="97" spans="2:8" ht="11.25">
      <c r="B97" s="53" t="s">
        <v>88</v>
      </c>
      <c r="C97" s="104">
        <v>8655.23021856</v>
      </c>
      <c r="D97" s="104">
        <v>7898.139183370001</v>
      </c>
      <c r="E97" s="104">
        <v>-757.0910351899993</v>
      </c>
      <c r="F97" s="106">
        <v>-8.747208520999445</v>
      </c>
      <c r="G97" s="93"/>
      <c r="H97" s="93"/>
    </row>
    <row r="98" spans="2:8" ht="11.25">
      <c r="B98" s="53" t="s">
        <v>162</v>
      </c>
      <c r="C98" s="104">
        <v>5.8177571200000004</v>
      </c>
      <c r="D98" s="104">
        <v>5.861291169999999</v>
      </c>
      <c r="E98" s="104">
        <v>0.04353404999999899</v>
      </c>
      <c r="F98" s="106">
        <v>0.7482961062492582</v>
      </c>
      <c r="G98" s="93"/>
      <c r="H98" s="93"/>
    </row>
    <row r="99" spans="2:9" ht="11.25">
      <c r="B99" s="30" t="s">
        <v>89</v>
      </c>
      <c r="C99" s="104">
        <v>12197.16874525945</v>
      </c>
      <c r="D99" s="104">
        <v>12547.622296626441</v>
      </c>
      <c r="E99" s="104">
        <v>350.4535513669907</v>
      </c>
      <c r="F99" s="106">
        <v>2.8732368854304644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2006-12-07T12:47:50Z</cp:lastPrinted>
  <dcterms:created xsi:type="dcterms:W3CDTF">1999-07-02T10:21:54Z</dcterms:created>
  <dcterms:modified xsi:type="dcterms:W3CDTF">2006-12-07T14:22:32Z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