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85" windowHeight="6645" tabRatio="616" activeTab="7"/>
  </bookViews>
  <sheets>
    <sheet name="Coverpage" sheetId="1" r:id="rId1"/>
    <sheet name="S1" sheetId="2" r:id="rId2"/>
    <sheet name="S2" sheetId="3" r:id="rId3"/>
    <sheet name="S3" sheetId="4" r:id="rId4"/>
    <sheet name="S4" sheetId="5" r:id="rId5"/>
    <sheet name="S5" sheetId="6" r:id="rId6"/>
    <sheet name="S6" sheetId="7" r:id="rId7"/>
    <sheet name="S7" sheetId="8" r:id="rId8"/>
  </sheets>
  <externalReferences>
    <externalReference r:id="rId11"/>
    <externalReference r:id="rId12"/>
    <externalReference r:id="rId13"/>
    <externalReference r:id="rId14"/>
  </externalReferences>
  <definedNames>
    <definedName name="__123Graph_A" hidden="1">'[1]table ii.6'!$D$6:$D$70</definedName>
    <definedName name="__123Graph_B" hidden="1">'[1]table ii.6'!$E$6:$E$70</definedName>
    <definedName name="__123Graph_C" hidden="1">'[1]table ii.6'!$F$6:$F$70</definedName>
    <definedName name="__123Graph_D" hidden="1">'[1]table ii.6'!$G$6:$G$70</definedName>
    <definedName name="__123Graph_E" hidden="1">'[1]table ii.6'!$H$6:$H$70</definedName>
    <definedName name="__123Graph_F" hidden="1">'[1]table ii.6'!$I$6:$I$70</definedName>
    <definedName name="_xlnm.Print_Area" localSheetId="0">'Coverpage'!$A$2:$A$22</definedName>
    <definedName name="_xlnm.Print_Area" localSheetId="2">'S2'!$A$1:$L$47</definedName>
    <definedName name="_xlnm.Print_Area" localSheetId="3">'S3'!$A$1:$C$82</definedName>
    <definedName name="_xlnm.Print_Area" localSheetId="4">'S4'!$A$1:$K$75</definedName>
    <definedName name="_xlnm.Print_Area" localSheetId="5">'S5'!$B$2:$Q$21</definedName>
    <definedName name="_xlnm.Print_Area" localSheetId="6">'S6'!$A$1:$O$71</definedName>
    <definedName name="_xlnm.Print_Area" localSheetId="7">'S7'!$B$70:$F$93</definedName>
    <definedName name="Z_1119964D_FB32_11D4_9C51_0090277BCB1A_.wvu.Cols" localSheetId="5" hidden="1">'S5'!$B:$B</definedName>
    <definedName name="Z_1119964D_FB32_11D4_9C51_0090277BCB1A_.wvu.PrintArea" localSheetId="2" hidden="1">'S2'!$A$1:$L$48</definedName>
    <definedName name="Z_1119964D_FB32_11D4_9C51_0090277BCB1A_.wvu.PrintArea" localSheetId="3" hidden="1">'S3'!$A$2:$A$82</definedName>
    <definedName name="Z_1119964D_FB32_11D4_9C51_0090277BCB1A_.wvu.PrintArea" localSheetId="4" hidden="1">'S4'!$A$1:$K$75</definedName>
    <definedName name="Z_1119964D_FB32_11D4_9C51_0090277BCB1A_.wvu.PrintArea" localSheetId="5" hidden="1">'S5'!$B$2:$B$21</definedName>
    <definedName name="Z_1119964D_FB32_11D4_9C51_0090277BCB1A_.wvu.PrintArea" localSheetId="6" hidden="1">'S6'!$A$1:$J$60</definedName>
    <definedName name="Z_4BE07961_847F_11D4_A83A_00D0B7747A8F_.wvu.PrintArea" localSheetId="2" hidden="1">'S2'!$A$1:$L$48</definedName>
    <definedName name="Z_4BE07961_847F_11D4_A83A_00D0B7747A8F_.wvu.PrintArea" localSheetId="3" hidden="1">'S3'!$A$2:$A$82</definedName>
    <definedName name="Z_4BE07961_847F_11D4_A83A_00D0B7747A8F_.wvu.PrintArea" localSheetId="4" hidden="1">'S4'!$A$1:$K$75</definedName>
    <definedName name="Z_4BE07961_847F_11D4_A83A_00D0B7747A8F_.wvu.PrintArea" localSheetId="6" hidden="1">'S6'!$A$1:$J$60</definedName>
    <definedName name="Z_5050E6E2_8401_11D4_81A4_00608C91AED9_.wvu.Cols" localSheetId="5" hidden="1">'S5'!$B:$B</definedName>
    <definedName name="Z_5050E6E2_8401_11D4_81A4_00608C91AED9_.wvu.PrintArea" localSheetId="2" hidden="1">'S2'!$A$1:$L$48</definedName>
    <definedName name="Z_5050E6E2_8401_11D4_81A4_00608C91AED9_.wvu.PrintArea" localSheetId="3" hidden="1">'S3'!$A$2:$A$82</definedName>
    <definedName name="Z_5050E6E2_8401_11D4_81A4_00608C91AED9_.wvu.PrintArea" localSheetId="4" hidden="1">'S4'!$A$1:$K$75</definedName>
    <definedName name="Z_5050E6E2_8401_11D4_81A4_00608C91AED9_.wvu.PrintArea" localSheetId="5" hidden="1">'S5'!$B$2:$B$22</definedName>
    <definedName name="Z_5050E6E2_8401_11D4_81A4_00608C91AED9_.wvu.PrintArea" localSheetId="6" hidden="1">'S6'!$A$1:$I$60</definedName>
  </definedNames>
  <calcPr fullCalcOnLoad="1"/>
</workbook>
</file>

<file path=xl/sharedStrings.xml><?xml version="1.0" encoding="utf-8"?>
<sst xmlns="http://schemas.openxmlformats.org/spreadsheetml/2006/main" count="218" uniqueCount="157">
  <si>
    <t>Net Foreign Assets</t>
  </si>
  <si>
    <t>Money Market</t>
  </si>
  <si>
    <t>Bank Rate [%]</t>
  </si>
  <si>
    <t>Mortgage Rate (market avg) [%]</t>
  </si>
  <si>
    <t>Lending Rate (monthly weighted avg) [%]</t>
  </si>
  <si>
    <t>Deposit Rate (monthly weighted avg) [%]</t>
  </si>
  <si>
    <t>91-Day Treasury Bills</t>
  </si>
  <si>
    <t xml:space="preserve">  - discount rate [%]</t>
  </si>
  <si>
    <t xml:space="preserve">  - allotted [N$ mln]</t>
  </si>
  <si>
    <t xml:space="preserve">  - redeemed [N$ mln]</t>
  </si>
  <si>
    <t>182-Day Treasury Bills</t>
  </si>
  <si>
    <t>Capital Market</t>
  </si>
  <si>
    <t>Internal Registered Stock (IRS)</t>
  </si>
  <si>
    <t xml:space="preserve">  - yield to maturity [%]</t>
  </si>
  <si>
    <t xml:space="preserve">  - outstanding [N$ mln]</t>
  </si>
  <si>
    <t>Namibian Stock Exchange</t>
  </si>
  <si>
    <t>All Shares</t>
  </si>
  <si>
    <t xml:space="preserve">    volume [mln shares]</t>
  </si>
  <si>
    <t xml:space="preserve">    turnover [N$ mln]</t>
  </si>
  <si>
    <t xml:space="preserve">    price index (end of month)</t>
  </si>
  <si>
    <t xml:space="preserve">    market capitalization [N$ bln]</t>
  </si>
  <si>
    <t xml:space="preserve">    -  mining</t>
  </si>
  <si>
    <t xml:space="preserve">    -  financial</t>
  </si>
  <si>
    <t xml:space="preserve">    -  industrial</t>
  </si>
  <si>
    <t xml:space="preserve">    -  retail</t>
  </si>
  <si>
    <t xml:space="preserve">    -  fishing</t>
  </si>
  <si>
    <t>Local Shares</t>
  </si>
  <si>
    <t>Twelve Months</t>
  </si>
  <si>
    <t>Since last December</t>
  </si>
  <si>
    <t>Month-on-Month</t>
  </si>
  <si>
    <t xml:space="preserve">   International reserves</t>
  </si>
  <si>
    <t xml:space="preserve">   Change in reserves</t>
  </si>
  <si>
    <t>NAD per U.S dollar</t>
  </si>
  <si>
    <t>U.S dollar per NAD</t>
  </si>
  <si>
    <t>German mark per NAD</t>
  </si>
  <si>
    <t>British pound per NAD</t>
  </si>
  <si>
    <t>Japanese yen per NAD</t>
  </si>
  <si>
    <t>Spanish peseta per NAD</t>
  </si>
  <si>
    <t>NAD = Namibia Dollar</t>
  </si>
  <si>
    <t>*Source: South African Reserve Bank</t>
  </si>
  <si>
    <t xml:space="preserve">  - Effective yield(%)</t>
  </si>
  <si>
    <t xml:space="preserve">   - Effective yield (%)</t>
  </si>
  <si>
    <t>Prime Rate  (market avg) %</t>
  </si>
  <si>
    <t>365-Day Trearury Bills</t>
  </si>
  <si>
    <t>Debt outstanding (91- &amp;182- &amp; 365 day TBs) [N$ mln]</t>
  </si>
  <si>
    <t>Foreign exchange rates (average)*</t>
  </si>
  <si>
    <t>One Month</t>
  </si>
  <si>
    <t>Other Items Net</t>
  </si>
  <si>
    <t>FINANCIAL INDICATORS</t>
  </si>
  <si>
    <t xml:space="preserve">     Source: BON</t>
  </si>
  <si>
    <t xml:space="preserve">         Source: NSX</t>
  </si>
  <si>
    <t xml:space="preserve">         NSX Indices</t>
  </si>
  <si>
    <t>BANK OF NAMIBIA</t>
  </si>
  <si>
    <t>RESEARCH DEPARTMENT</t>
  </si>
  <si>
    <t>Statistical Release of Selected Data</t>
  </si>
  <si>
    <t>Claims on other sectors</t>
  </si>
  <si>
    <t>Other financial corporations</t>
  </si>
  <si>
    <t>Other resident sectors</t>
  </si>
  <si>
    <t>Broad Money Liabilities</t>
  </si>
  <si>
    <t>Currency outside depository corporations</t>
  </si>
  <si>
    <t>Transferable deposits</t>
  </si>
  <si>
    <t>Other deposits</t>
  </si>
  <si>
    <t>Other nonfinancial corporations/Businesses</t>
  </si>
  <si>
    <t>Total Assets</t>
  </si>
  <si>
    <t>Claims on nonresidents</t>
  </si>
  <si>
    <t>Deposits</t>
  </si>
  <si>
    <t>Securities other than shares</t>
  </si>
  <si>
    <t xml:space="preserve">Other </t>
  </si>
  <si>
    <t>Claims on residents</t>
  </si>
  <si>
    <t>Other sectors</t>
  </si>
  <si>
    <t>Total Liabilities</t>
  </si>
  <si>
    <t>Monetary Base</t>
  </si>
  <si>
    <t>Currency in circulation</t>
  </si>
  <si>
    <t xml:space="preserve">Liabilities to ODC's </t>
  </si>
  <si>
    <t>Shares and other equity</t>
  </si>
  <si>
    <t>Other Depository Corporations (N$ Million)</t>
  </si>
  <si>
    <t>Foreign currency</t>
  </si>
  <si>
    <t>Loans</t>
  </si>
  <si>
    <t>Others</t>
  </si>
  <si>
    <t>Other non financial corporations</t>
  </si>
  <si>
    <t>Other Assets</t>
  </si>
  <si>
    <t>Non resident sector</t>
  </si>
  <si>
    <t>Other</t>
  </si>
  <si>
    <t>Resident sector</t>
  </si>
  <si>
    <t>Deposits included in M2</t>
  </si>
  <si>
    <t>Transferable</t>
  </si>
  <si>
    <t>Deposits excluded from M2</t>
  </si>
  <si>
    <t>Other Accounts Payable</t>
  </si>
  <si>
    <t>Shares and Equity</t>
  </si>
  <si>
    <t>Vertical  check</t>
  </si>
  <si>
    <t>Domestic Claims</t>
  </si>
  <si>
    <t>Claims on other Sectors</t>
  </si>
  <si>
    <t>Broad Money Supply</t>
  </si>
  <si>
    <t>Currency outside Depository Corporations</t>
  </si>
  <si>
    <t>Transferable Deposits</t>
  </si>
  <si>
    <t>Other Deposits</t>
  </si>
  <si>
    <t>Other Liabilities</t>
  </si>
  <si>
    <t>Check</t>
  </si>
  <si>
    <t>Other resident sectors/Individuals</t>
  </si>
  <si>
    <t>Depository Corporations Survey (N$ Million)</t>
  </si>
  <si>
    <t>Money and Banking Statistics</t>
  </si>
  <si>
    <t>Change over</t>
  </si>
  <si>
    <t>Central government</t>
  </si>
  <si>
    <t>Liabilities to central government</t>
  </si>
  <si>
    <t>Central bank</t>
  </si>
  <si>
    <t>State and local governments</t>
  </si>
  <si>
    <t>Insurance Technical Reserves</t>
  </si>
  <si>
    <t>Financial Derivatives</t>
  </si>
  <si>
    <t>Net Claims on Central Government</t>
  </si>
  <si>
    <t>Liabilities to residents</t>
  </si>
  <si>
    <t>Central Bank (N$ Million)</t>
  </si>
  <si>
    <t>*Other Depository Corporations</t>
  </si>
  <si>
    <t xml:space="preserve">              U.S Dollar/Namibia Dollar Exchange Rate</t>
  </si>
  <si>
    <t xml:space="preserve">               Foreign Exchange Reserves</t>
  </si>
  <si>
    <t xml:space="preserve">   Other financial corporations</t>
  </si>
  <si>
    <t xml:space="preserve">   State and local government</t>
  </si>
  <si>
    <t xml:space="preserve">   Public nonfinancial corporations</t>
  </si>
  <si>
    <t xml:space="preserve">   Other nonfinancial corporations</t>
  </si>
  <si>
    <t xml:space="preserve">   Other resident sectors</t>
  </si>
  <si>
    <t xml:space="preserve">   Other Financial Corporations</t>
  </si>
  <si>
    <t xml:space="preserve">   State and Local Government</t>
  </si>
  <si>
    <t xml:space="preserve">   Other Resident Sectors</t>
  </si>
  <si>
    <t xml:space="preserve">   Other Non-Financial Corporations</t>
  </si>
  <si>
    <t>Securities other than shares included in M2</t>
  </si>
  <si>
    <t>Securities other than shares excluded from M2</t>
  </si>
  <si>
    <t xml:space="preserve">      Source: CBS &amp; STATSSA</t>
  </si>
  <si>
    <t>* This item is present here due to a classification problem.  Kindly note that BoN is in the process of solving it.</t>
  </si>
  <si>
    <t>Total Claims on the Other Sector</t>
  </si>
  <si>
    <t>Claims on non-resident other sector</t>
  </si>
  <si>
    <t>*Domestic Claims = Domestic Credit</t>
  </si>
  <si>
    <t>* Other Sector Claims = Private Sector Credit</t>
  </si>
  <si>
    <t xml:space="preserve">       International Reserves and Exchange rates</t>
  </si>
  <si>
    <t>Public nonfinancial corporations</t>
  </si>
  <si>
    <t>Consumer Price Inflation [Percentage Change]*</t>
  </si>
  <si>
    <t>*  The consumer price inflation is based on the newly released NCPI (nation wide CPI)</t>
  </si>
  <si>
    <t xml:space="preserve">   Public Nonfinancial Corporations</t>
  </si>
  <si>
    <t>Other depository corporations</t>
  </si>
  <si>
    <t>Primary auction</t>
  </si>
  <si>
    <t xml:space="preserve">% Change </t>
  </si>
  <si>
    <t xml:space="preserve">   Loans and Advances</t>
  </si>
  <si>
    <t xml:space="preserve">  Installment Credit</t>
  </si>
  <si>
    <t xml:space="preserve">  Leasing Transactions</t>
  </si>
  <si>
    <t xml:space="preserve">  Other Claims</t>
  </si>
  <si>
    <t xml:space="preserve">  Loans and Advances</t>
  </si>
  <si>
    <t xml:space="preserve"> Mortgage Loans</t>
  </si>
  <si>
    <t xml:space="preserve"> Other Loans and Advances</t>
  </si>
  <si>
    <t xml:space="preserve">       Money Supply Month-on-Month  Percentage Changes</t>
  </si>
  <si>
    <t xml:space="preserve">  % Change</t>
  </si>
  <si>
    <t xml:space="preserve">  One Month</t>
  </si>
  <si>
    <t xml:space="preserve">          Namibia's Inflation vs South Africa's CPIX</t>
  </si>
  <si>
    <t>* Other Sectors = Private Sector</t>
  </si>
  <si>
    <t xml:space="preserve">     *Domestic Claims and Other Sector Claims  (Month-on-Month Percentage Changes)</t>
  </si>
  <si>
    <t xml:space="preserve">         Foreign exchange reserves (NAD millions)</t>
  </si>
  <si>
    <t>Selected Interest Rates</t>
  </si>
  <si>
    <t>Determinants of Money Supply (N$ Million)</t>
  </si>
  <si>
    <t>Components of Money Supply (N$ Million)</t>
  </si>
  <si>
    <t>Claims on the *Other Sectors  by the Other Depository Corporations (N$ Million)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</si>
</sst>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$&quot;\ #,##0;&quot;N$&quot;\ \-#,##0"/>
    <numFmt numFmtId="165" formatCode="&quot;N$&quot;\ #,##0;[Red]&quot;N$&quot;\ \-#,##0"/>
    <numFmt numFmtId="166" formatCode="&quot;N$&quot;\ #,##0.00;&quot;N$&quot;\ \-#,##0.00"/>
    <numFmt numFmtId="167" formatCode="&quot;N$&quot;\ #,##0.00;[Red]&quot;N$&quot;\ \-#,##0.00"/>
    <numFmt numFmtId="168" formatCode="_ &quot;N$&quot;\ * #,##0_ ;_ &quot;N$&quot;\ * \-#,##0_ ;_ &quot;N$&quot;\ * &quot;-&quot;_ ;_ @_ "/>
    <numFmt numFmtId="169" formatCode="_ * #,##0_ ;_ * \-#,##0_ ;_ * &quot;-&quot;_ ;_ @_ "/>
    <numFmt numFmtId="170" formatCode="_ &quot;N$&quot;\ * #,##0.00_ ;_ &quot;N$&quot;\ * \-#,##0.00_ ;_ &quot;N$&quot;\ * &quot;-&quot;??_ ;_ @_ "/>
    <numFmt numFmtId="171" formatCode="_ * #,##0.00_ ;_ * \-#,##0.00_ ;_ * &quot;-&quot;??_ ;_ @_ 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&quot;N$&quot;* #,##0.00_);_(&quot;N$&quot;* \(#,##0.00\);_(&quot;N$&quot;* &quot;-&quot;??_);_(@_)"/>
    <numFmt numFmtId="178" formatCode="0.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0000000"/>
    <numFmt numFmtId="185" formatCode="#,##0.0"/>
    <numFmt numFmtId="186" formatCode="_(* #,##0.0_);_(* \(#,##0.0\);_(* &quot;-&quot;??_);_(@_)"/>
    <numFmt numFmtId="187" formatCode="_(* #,##0_);_(* \(#,##0\);_(* &quot;-&quot;??_);_(@_)"/>
    <numFmt numFmtId="188" formatCode="_(* #,##0.0_);_(* \(#,##0.0\);_(* &quot;-&quot;?_);_(@_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.000"/>
    <numFmt numFmtId="193" formatCode="[$€-2]\ #,##0.00_);[Red]\([$€-2]\ #,##0.00\)"/>
    <numFmt numFmtId="194" formatCode="[$-409]dddd\,\ mmmm\ dd\,\ yyyy"/>
    <numFmt numFmtId="195" formatCode="[$-409]mmm\-yy;@"/>
    <numFmt numFmtId="196" formatCode="[$-409]mmmm\-yy;@"/>
    <numFmt numFmtId="197" formatCode="[$-409]h:mm:ss\ AM/PM"/>
    <numFmt numFmtId="198" formatCode="[$-409]mmmm\ d\,\ yyyy;@"/>
    <numFmt numFmtId="199" formatCode="[$-409]d\-mmm\-yy;@"/>
    <numFmt numFmtId="200" formatCode="[$-409]mmmmm\-yy;@"/>
    <numFmt numFmtId="201" formatCode="[$-409]d\-mmm;@"/>
    <numFmt numFmtId="202" formatCode="#,##0.0_);\(#,##0.0\)"/>
    <numFmt numFmtId="203" formatCode="mmm\-yyyy"/>
    <numFmt numFmtId="204" formatCode="0.00_);\(0.00\)"/>
    <numFmt numFmtId="205" formatCode="0.000_);\(0.000\)"/>
    <numFmt numFmtId="206" formatCode="[$-1C09]dd\ mmmm\ yyyy"/>
    <numFmt numFmtId="207" formatCode="[$-1C09]dd\ mmmm\ yyyy;@"/>
    <numFmt numFmtId="208" formatCode="0.00_)"/>
    <numFmt numFmtId="209" formatCode="0.0_)"/>
    <numFmt numFmtId="210" formatCode="0_)"/>
    <numFmt numFmtId="211" formatCode="[$-409]dd\-mmm\-yy;@"/>
    <numFmt numFmtId="212" formatCode="m/d/yy;@"/>
  </numFmts>
  <fonts count="60">
    <font>
      <sz val="8"/>
      <name val="Univers"/>
      <family val="0"/>
    </font>
    <font>
      <sz val="12"/>
      <name val="Univers"/>
      <family val="0"/>
    </font>
    <font>
      <b/>
      <sz val="12"/>
      <color indexed="61"/>
      <name val="Arial"/>
      <family val="2"/>
    </font>
    <font>
      <sz val="12"/>
      <color indexed="61"/>
      <name val="Arial"/>
      <family val="2"/>
    </font>
    <font>
      <sz val="8"/>
      <color indexed="61"/>
      <name val="Arial"/>
      <family val="2"/>
    </font>
    <font>
      <u val="single"/>
      <sz val="6"/>
      <color indexed="12"/>
      <name val="Univers"/>
      <family val="0"/>
    </font>
    <font>
      <u val="single"/>
      <sz val="6"/>
      <color indexed="36"/>
      <name val="Univers"/>
      <family val="0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61"/>
      <name val="Arial"/>
      <family val="2"/>
    </font>
    <font>
      <b/>
      <sz val="9"/>
      <color indexed="61"/>
      <name val="Arial"/>
      <family val="2"/>
    </font>
    <font>
      <sz val="9"/>
      <name val="Arial"/>
      <family val="2"/>
    </font>
    <font>
      <i/>
      <sz val="9"/>
      <color indexed="9"/>
      <name val="Arial"/>
      <family val="2"/>
    </font>
    <font>
      <sz val="8"/>
      <color indexed="9"/>
      <name val="Arial"/>
      <family val="2"/>
    </font>
    <font>
      <b/>
      <sz val="10"/>
      <color indexed="61"/>
      <name val="Univers"/>
      <family val="0"/>
    </font>
    <font>
      <sz val="8"/>
      <name val="Arial"/>
      <family val="2"/>
    </font>
    <font>
      <sz val="12"/>
      <name val="Arial"/>
      <family val="2"/>
    </font>
    <font>
      <sz val="10"/>
      <name val="Univers"/>
      <family val="0"/>
    </font>
    <font>
      <sz val="10"/>
      <color indexed="61"/>
      <name val="Univers"/>
      <family val="0"/>
    </font>
    <font>
      <b/>
      <sz val="9"/>
      <color indexed="37"/>
      <name val="Arial"/>
      <family val="2"/>
    </font>
    <font>
      <b/>
      <sz val="8"/>
      <color indexed="9"/>
      <name val="Arial"/>
      <family val="2"/>
    </font>
    <font>
      <sz val="24"/>
      <name val="Comic Sans MS"/>
      <family val="4"/>
    </font>
    <font>
      <sz val="26"/>
      <name val="Times New Roman"/>
      <family val="1"/>
    </font>
    <font>
      <b/>
      <i/>
      <sz val="24"/>
      <name val="Comic Sans MS"/>
      <family val="4"/>
    </font>
    <font>
      <b/>
      <i/>
      <sz val="26"/>
      <name val="Comic Sans MS"/>
      <family val="4"/>
    </font>
    <font>
      <b/>
      <sz val="26"/>
      <name val="Comic Sans MS"/>
      <family val="4"/>
    </font>
    <font>
      <b/>
      <sz val="8"/>
      <color indexed="61"/>
      <name val="Arial"/>
      <family val="2"/>
    </font>
    <font>
      <i/>
      <sz val="8"/>
      <color indexed="61"/>
      <name val="Arial"/>
      <family val="2"/>
    </font>
    <font>
      <sz val="8"/>
      <color indexed="61"/>
      <name val="Times New Roman"/>
      <family val="1"/>
    </font>
    <font>
      <i/>
      <sz val="8"/>
      <name val="Arial"/>
      <family val="2"/>
    </font>
    <font>
      <sz val="8"/>
      <color indexed="61"/>
      <name val="Univers"/>
      <family val="0"/>
    </font>
    <font>
      <sz val="6"/>
      <color indexed="9"/>
      <name val="Arial"/>
      <family val="2"/>
    </font>
    <font>
      <sz val="8"/>
      <color indexed="37"/>
      <name val="Arial"/>
      <family val="2"/>
    </font>
    <font>
      <sz val="10"/>
      <name val="Times New Roman"/>
      <family val="0"/>
    </font>
    <font>
      <sz val="18"/>
      <name val="Times New Roman"/>
      <family val="0"/>
    </font>
    <font>
      <sz val="8"/>
      <name val="Times New Roman"/>
      <family val="0"/>
    </font>
    <font>
      <i/>
      <sz val="12"/>
      <name val="Times New Roman"/>
      <family val="0"/>
    </font>
    <font>
      <sz val="18"/>
      <name val="Arial"/>
      <family val="0"/>
    </font>
    <font>
      <i/>
      <sz val="12"/>
      <name val="Arial"/>
      <family val="0"/>
    </font>
    <font>
      <sz val="11"/>
      <name val="Arial"/>
      <family val="2"/>
    </font>
    <font>
      <sz val="21.5"/>
      <name val="Arial"/>
      <family val="0"/>
    </font>
    <font>
      <b/>
      <sz val="11.25"/>
      <color indexed="37"/>
      <name val="Arial"/>
      <family val="2"/>
    </font>
    <font>
      <sz val="10.5"/>
      <name val="Arial"/>
      <family val="2"/>
    </font>
    <font>
      <b/>
      <sz val="11"/>
      <color indexed="61"/>
      <name val="Arial"/>
      <family val="2"/>
    </font>
    <font>
      <sz val="11"/>
      <color indexed="37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i/>
      <sz val="11"/>
      <color indexed="61"/>
      <name val="Arial"/>
      <family val="2"/>
    </font>
    <font>
      <sz val="10"/>
      <color indexed="8"/>
      <name val="Arial"/>
      <family val="2"/>
    </font>
    <font>
      <sz val="11.75"/>
      <name val="Arial"/>
      <family val="2"/>
    </font>
    <font>
      <sz val="8.5"/>
      <name val="Arial"/>
      <family val="2"/>
    </font>
    <font>
      <sz val="19.5"/>
      <name val="Arial"/>
      <family val="0"/>
    </font>
    <font>
      <b/>
      <sz val="10.25"/>
      <color indexed="37"/>
      <name val="Arial"/>
      <family val="2"/>
    </font>
    <font>
      <sz val="15.75"/>
      <name val="Arial"/>
      <family val="0"/>
    </font>
    <font>
      <b/>
      <sz val="12"/>
      <name val="Arial"/>
      <family val="2"/>
    </font>
    <font>
      <b/>
      <sz val="8"/>
      <name val="Univers"/>
      <family val="0"/>
    </font>
    <font>
      <b/>
      <sz val="12"/>
      <color indexed="61"/>
      <name val="Univers"/>
      <family val="0"/>
    </font>
    <font>
      <sz val="10"/>
      <name val="Arial"/>
      <family val="2"/>
    </font>
    <font>
      <sz val="10.75"/>
      <name val="Arial"/>
      <family val="2"/>
    </font>
    <font>
      <sz val="11.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lightTrellis">
        <fgColor indexed="26"/>
        <bgColor indexed="26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34" fillId="0" borderId="0" applyProtection="0">
      <alignment/>
    </xf>
    <xf numFmtId="3" fontId="35" fillId="0" borderId="0" applyProtection="0">
      <alignment/>
    </xf>
    <xf numFmtId="3" fontId="36" fillId="0" borderId="0" applyProtection="0">
      <alignment/>
    </xf>
    <xf numFmtId="3" fontId="16" fillId="0" borderId="0" applyProtection="0">
      <alignment/>
    </xf>
    <xf numFmtId="3" fontId="37" fillId="0" borderId="0" applyProtection="0">
      <alignment/>
    </xf>
    <xf numFmtId="3" fontId="15" fillId="0" borderId="0" applyProtection="0">
      <alignment/>
    </xf>
    <xf numFmtId="3" fontId="38" fillId="0" borderId="0" applyProtection="0">
      <alignment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7" fillId="2" borderId="1" xfId="0" applyFont="1" applyFill="1" applyBorder="1" applyAlignment="1">
      <alignment/>
    </xf>
    <xf numFmtId="0" fontId="10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2" fontId="9" fillId="3" borderId="0" xfId="0" applyNumberFormat="1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12" fillId="2" borderId="2" xfId="0" applyFont="1" applyFill="1" applyBorder="1" applyAlignment="1">
      <alignment/>
    </xf>
    <xf numFmtId="0" fontId="11" fillId="0" borderId="0" xfId="0" applyFont="1" applyAlignment="1">
      <alignment horizontal="right"/>
    </xf>
    <xf numFmtId="43" fontId="11" fillId="0" borderId="0" xfId="15" applyFont="1" applyAlignment="1">
      <alignment/>
    </xf>
    <xf numFmtId="4" fontId="11" fillId="0" borderId="0" xfId="0" applyNumberFormat="1" applyFont="1" applyAlignment="1">
      <alignment/>
    </xf>
    <xf numFmtId="178" fontId="11" fillId="0" borderId="0" xfId="0" applyNumberFormat="1" applyFont="1" applyAlignment="1">
      <alignment/>
    </xf>
    <xf numFmtId="0" fontId="8" fillId="2" borderId="3" xfId="0" applyFont="1" applyFill="1" applyBorder="1" applyAlignment="1">
      <alignment/>
    </xf>
    <xf numFmtId="17" fontId="13" fillId="2" borderId="4" xfId="0" applyNumberFormat="1" applyFont="1" applyFill="1" applyBorder="1" applyAlignment="1">
      <alignment/>
    </xf>
    <xf numFmtId="185" fontId="4" fillId="4" borderId="0" xfId="0" applyNumberFormat="1" applyFont="1" applyFill="1" applyBorder="1" applyAlignment="1">
      <alignment/>
    </xf>
    <xf numFmtId="185" fontId="4" fillId="4" borderId="5" xfId="0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0" fontId="16" fillId="0" borderId="0" xfId="0" applyFont="1" applyAlignment="1">
      <alignment/>
    </xf>
    <xf numFmtId="0" fontId="3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7" fillId="0" borderId="0" xfId="0" applyFont="1" applyAlignment="1">
      <alignment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185" fontId="13" fillId="2" borderId="6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" fillId="4" borderId="0" xfId="0" applyFont="1" applyFill="1" applyBorder="1" applyAlignment="1">
      <alignment/>
    </xf>
    <xf numFmtId="185" fontId="4" fillId="0" borderId="0" xfId="0" applyNumberFormat="1" applyFont="1" applyFill="1" applyBorder="1" applyAlignment="1">
      <alignment/>
    </xf>
    <xf numFmtId="185" fontId="9" fillId="3" borderId="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96" fontId="24" fillId="0" borderId="0" xfId="0" applyNumberFormat="1" applyFont="1" applyAlignment="1">
      <alignment horizontal="center"/>
    </xf>
    <xf numFmtId="185" fontId="9" fillId="4" borderId="7" xfId="0" applyNumberFormat="1" applyFont="1" applyFill="1" applyBorder="1" applyAlignment="1">
      <alignment/>
    </xf>
    <xf numFmtId="0" fontId="15" fillId="0" borderId="0" xfId="0" applyFont="1" applyAlignment="1">
      <alignment/>
    </xf>
    <xf numFmtId="2" fontId="9" fillId="4" borderId="8" xfId="0" applyNumberFormat="1" applyFont="1" applyFill="1" applyBorder="1" applyAlignment="1">
      <alignment/>
    </xf>
    <xf numFmtId="2" fontId="9" fillId="4" borderId="7" xfId="0" applyNumberFormat="1" applyFont="1" applyFill="1" applyBorder="1" applyAlignment="1">
      <alignment/>
    </xf>
    <xf numFmtId="185" fontId="4" fillId="4" borderId="9" xfId="0" applyNumberFormat="1" applyFont="1" applyFill="1" applyBorder="1" applyAlignment="1">
      <alignment/>
    </xf>
    <xf numFmtId="0" fontId="4" fillId="4" borderId="9" xfId="0" applyFont="1" applyFill="1" applyBorder="1" applyAlignment="1">
      <alignment/>
    </xf>
    <xf numFmtId="185" fontId="15" fillId="0" borderId="0" xfId="0" applyNumberFormat="1" applyFont="1" applyBorder="1" applyAlignment="1">
      <alignment/>
    </xf>
    <xf numFmtId="185" fontId="15" fillId="4" borderId="9" xfId="0" applyNumberFormat="1" applyFont="1" applyFill="1" applyBorder="1" applyAlignment="1">
      <alignment/>
    </xf>
    <xf numFmtId="17" fontId="4" fillId="5" borderId="9" xfId="0" applyNumberFormat="1" applyFont="1" applyFill="1" applyBorder="1" applyAlignment="1">
      <alignment/>
    </xf>
    <xf numFmtId="0" fontId="4" fillId="5" borderId="9" xfId="0" applyFont="1" applyFill="1" applyBorder="1" applyAlignment="1">
      <alignment/>
    </xf>
    <xf numFmtId="0" fontId="13" fillId="2" borderId="10" xfId="0" applyFont="1" applyFill="1" applyBorder="1" applyAlignment="1">
      <alignment/>
    </xf>
    <xf numFmtId="0" fontId="13" fillId="2" borderId="11" xfId="0" applyFont="1" applyFill="1" applyBorder="1" applyAlignment="1">
      <alignment/>
    </xf>
    <xf numFmtId="0" fontId="26" fillId="4" borderId="0" xfId="0" applyFont="1" applyFill="1" applyBorder="1" applyAlignment="1">
      <alignment/>
    </xf>
    <xf numFmtId="185" fontId="26" fillId="4" borderId="0" xfId="0" applyNumberFormat="1" applyFont="1" applyFill="1" applyBorder="1" applyAlignment="1">
      <alignment/>
    </xf>
    <xf numFmtId="0" fontId="27" fillId="4" borderId="0" xfId="0" applyFont="1" applyFill="1" applyBorder="1" applyAlignment="1">
      <alignment horizontal="left" indent="1"/>
    </xf>
    <xf numFmtId="0" fontId="26" fillId="4" borderId="5" xfId="0" applyFont="1" applyFill="1" applyBorder="1" applyAlignment="1">
      <alignment/>
    </xf>
    <xf numFmtId="185" fontId="26" fillId="4" borderId="5" xfId="0" applyNumberFormat="1" applyFont="1" applyFill="1" applyBorder="1" applyAlignment="1">
      <alignment/>
    </xf>
    <xf numFmtId="0" fontId="15" fillId="0" borderId="12" xfId="0" applyFont="1" applyBorder="1" applyAlignment="1">
      <alignment/>
    </xf>
    <xf numFmtId="0" fontId="15" fillId="4" borderId="9" xfId="0" applyFont="1" applyFill="1" applyBorder="1" applyAlignment="1">
      <alignment/>
    </xf>
    <xf numFmtId="0" fontId="27" fillId="4" borderId="5" xfId="0" applyFont="1" applyFill="1" applyBorder="1" applyAlignment="1">
      <alignment horizontal="left" indent="1"/>
    </xf>
    <xf numFmtId="0" fontId="15" fillId="0" borderId="5" xfId="0" applyFont="1" applyBorder="1" applyAlignment="1">
      <alignment/>
    </xf>
    <xf numFmtId="0" fontId="26" fillId="4" borderId="0" xfId="0" applyFont="1" applyFill="1" applyBorder="1" applyAlignment="1">
      <alignment horizontal="left" indent="2"/>
    </xf>
    <xf numFmtId="0" fontId="4" fillId="4" borderId="0" xfId="0" applyFont="1" applyFill="1" applyBorder="1" applyAlignment="1">
      <alignment horizontal="left" indent="3"/>
    </xf>
    <xf numFmtId="0" fontId="4" fillId="4" borderId="0" xfId="0" applyFont="1" applyFill="1" applyBorder="1" applyAlignment="1">
      <alignment horizontal="left" indent="4"/>
    </xf>
    <xf numFmtId="202" fontId="4" fillId="4" borderId="0" xfId="15" applyNumberFormat="1" applyFont="1" applyFill="1" applyBorder="1" applyAlignment="1">
      <alignment horizontal="right"/>
    </xf>
    <xf numFmtId="202" fontId="4" fillId="5" borderId="0" xfId="15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13" fillId="2" borderId="13" xfId="0" applyFont="1" applyFill="1" applyBorder="1" applyAlignment="1">
      <alignment/>
    </xf>
    <xf numFmtId="17" fontId="20" fillId="2" borderId="13" xfId="0" applyNumberFormat="1" applyFont="1" applyFill="1" applyBorder="1" applyAlignment="1">
      <alignment/>
    </xf>
    <xf numFmtId="0" fontId="20" fillId="2" borderId="13" xfId="0" applyFont="1" applyFill="1" applyBorder="1" applyAlignment="1">
      <alignment/>
    </xf>
    <xf numFmtId="178" fontId="26" fillId="4" borderId="0" xfId="0" applyNumberFormat="1" applyFont="1" applyFill="1" applyBorder="1" applyAlignment="1">
      <alignment/>
    </xf>
    <xf numFmtId="178" fontId="4" fillId="4" borderId="0" xfId="0" applyNumberFormat="1" applyFont="1" applyFill="1" applyBorder="1" applyAlignment="1">
      <alignment/>
    </xf>
    <xf numFmtId="0" fontId="26" fillId="4" borderId="0" xfId="0" applyFont="1" applyFill="1" applyBorder="1" applyAlignment="1">
      <alignment horizontal="left"/>
    </xf>
    <xf numFmtId="185" fontId="27" fillId="4" borderId="0" xfId="0" applyNumberFormat="1" applyFont="1" applyFill="1" applyBorder="1" applyAlignment="1">
      <alignment horizontal="left" indent="1"/>
    </xf>
    <xf numFmtId="0" fontId="26" fillId="4" borderId="14" xfId="0" applyFont="1" applyFill="1" applyBorder="1" applyAlignment="1">
      <alignment/>
    </xf>
    <xf numFmtId="185" fontId="26" fillId="4" borderId="14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185" fontId="28" fillId="0" borderId="0" xfId="0" applyNumberFormat="1" applyFont="1" applyFill="1" applyBorder="1" applyAlignment="1">
      <alignment/>
    </xf>
    <xf numFmtId="178" fontId="28" fillId="0" borderId="0" xfId="0" applyNumberFormat="1" applyFont="1" applyFill="1" applyBorder="1" applyAlignment="1">
      <alignment/>
    </xf>
    <xf numFmtId="185" fontId="26" fillId="4" borderId="0" xfId="0" applyNumberFormat="1" applyFont="1" applyFill="1" applyBorder="1" applyAlignment="1">
      <alignment horizontal="left"/>
    </xf>
    <xf numFmtId="185" fontId="26" fillId="4" borderId="0" xfId="0" applyNumberFormat="1" applyFont="1" applyFill="1" applyBorder="1" applyAlignment="1">
      <alignment horizontal="left" indent="2"/>
    </xf>
    <xf numFmtId="185" fontId="4" fillId="4" borderId="0" xfId="0" applyNumberFormat="1" applyFont="1" applyFill="1" applyBorder="1" applyAlignment="1">
      <alignment horizontal="left" indent="2"/>
    </xf>
    <xf numFmtId="0" fontId="20" fillId="2" borderId="0" xfId="0" applyFont="1" applyFill="1" applyBorder="1" applyAlignment="1">
      <alignment/>
    </xf>
    <xf numFmtId="0" fontId="4" fillId="4" borderId="0" xfId="0" applyFont="1" applyFill="1" applyBorder="1" applyAlignment="1">
      <alignment horizontal="left" indent="1"/>
    </xf>
    <xf numFmtId="0" fontId="27" fillId="4" borderId="0" xfId="0" applyFont="1" applyFill="1" applyBorder="1" applyAlignment="1">
      <alignment horizontal="left" indent="3"/>
    </xf>
    <xf numFmtId="195" fontId="10" fillId="4" borderId="15" xfId="0" applyNumberFormat="1" applyFont="1" applyFill="1" applyBorder="1" applyAlignment="1">
      <alignment horizontal="center"/>
    </xf>
    <xf numFmtId="2" fontId="9" fillId="4" borderId="7" xfId="15" applyNumberFormat="1" applyFont="1" applyFill="1" applyBorder="1" applyAlignment="1">
      <alignment horizontal="right"/>
    </xf>
    <xf numFmtId="178" fontId="9" fillId="4" borderId="7" xfId="0" applyNumberFormat="1" applyFont="1" applyFill="1" applyBorder="1" applyAlignment="1">
      <alignment/>
    </xf>
    <xf numFmtId="0" fontId="29" fillId="0" borderId="0" xfId="0" applyFont="1" applyAlignment="1">
      <alignment/>
    </xf>
    <xf numFmtId="202" fontId="0" fillId="0" borderId="0" xfId="0" applyNumberFormat="1" applyAlignment="1">
      <alignment/>
    </xf>
    <xf numFmtId="4" fontId="9" fillId="4" borderId="7" xfId="0" applyNumberFormat="1" applyFont="1" applyFill="1" applyBorder="1" applyAlignment="1">
      <alignment/>
    </xf>
    <xf numFmtId="4" fontId="9" fillId="4" borderId="7" xfId="0" applyNumberFormat="1" applyFont="1" applyFill="1" applyBorder="1" applyAlignment="1">
      <alignment horizontal="right"/>
    </xf>
    <xf numFmtId="2" fontId="9" fillId="4" borderId="7" xfId="0" applyNumberFormat="1" applyFont="1" applyFill="1" applyBorder="1" applyAlignment="1">
      <alignment horizontal="right"/>
    </xf>
    <xf numFmtId="0" fontId="27" fillId="4" borderId="5" xfId="0" applyFont="1" applyFill="1" applyBorder="1" applyAlignment="1">
      <alignment horizontal="left" indent="3"/>
    </xf>
    <xf numFmtId="2" fontId="11" fillId="0" borderId="0" xfId="0" applyNumberFormat="1" applyFont="1" applyAlignment="1">
      <alignment/>
    </xf>
    <xf numFmtId="183" fontId="11" fillId="0" borderId="0" xfId="0" applyNumberFormat="1" applyFont="1" applyAlignment="1">
      <alignment/>
    </xf>
    <xf numFmtId="185" fontId="0" fillId="0" borderId="0" xfId="0" applyNumberFormat="1" applyAlignment="1">
      <alignment/>
    </xf>
    <xf numFmtId="178" fontId="9" fillId="4" borderId="16" xfId="0" applyNumberFormat="1" applyFont="1" applyFill="1" applyBorder="1" applyAlignment="1">
      <alignment horizontal="right"/>
    </xf>
    <xf numFmtId="0" fontId="30" fillId="0" borderId="0" xfId="0" applyFont="1" applyAlignment="1">
      <alignment/>
    </xf>
    <xf numFmtId="178" fontId="0" fillId="0" borderId="0" xfId="0" applyNumberFormat="1" applyAlignment="1">
      <alignment/>
    </xf>
    <xf numFmtId="185" fontId="26" fillId="3" borderId="0" xfId="0" applyNumberFormat="1" applyFont="1" applyFill="1" applyBorder="1" applyAlignment="1">
      <alignment/>
    </xf>
    <xf numFmtId="0" fontId="0" fillId="3" borderId="0" xfId="0" applyFill="1" applyAlignment="1">
      <alignment/>
    </xf>
    <xf numFmtId="46" fontId="31" fillId="2" borderId="17" xfId="0" applyNumberFormat="1" applyFont="1" applyFill="1" applyBorder="1" applyAlignment="1">
      <alignment/>
    </xf>
    <xf numFmtId="0" fontId="13" fillId="2" borderId="6" xfId="0" applyFont="1" applyFill="1" applyBorder="1" applyAlignment="1">
      <alignment/>
    </xf>
    <xf numFmtId="46" fontId="31" fillId="2" borderId="17" xfId="0" applyNumberFormat="1" applyFont="1" applyFill="1" applyBorder="1" applyAlignment="1">
      <alignment horizontal="left"/>
    </xf>
    <xf numFmtId="0" fontId="13" fillId="2" borderId="6" xfId="0" applyFont="1" applyFill="1" applyBorder="1" applyAlignment="1">
      <alignment horizontal="left"/>
    </xf>
    <xf numFmtId="0" fontId="13" fillId="2" borderId="4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0" fillId="0" borderId="0" xfId="0" applyFont="1" applyAlignment="1">
      <alignment horizontal="left"/>
    </xf>
    <xf numFmtId="0" fontId="4" fillId="3" borderId="0" xfId="0" applyFont="1" applyFill="1" applyBorder="1" applyAlignment="1">
      <alignment horizontal="left"/>
    </xf>
    <xf numFmtId="185" fontId="26" fillId="4" borderId="0" xfId="28" applyNumberFormat="1" applyFont="1" applyFill="1" applyBorder="1">
      <alignment/>
      <protection/>
    </xf>
    <xf numFmtId="185" fontId="4" fillId="4" borderId="0" xfId="28" applyNumberFormat="1" applyFont="1" applyFill="1" applyBorder="1">
      <alignment/>
      <protection/>
    </xf>
    <xf numFmtId="185" fontId="26" fillId="4" borderId="5" xfId="28" applyNumberFormat="1" applyFont="1" applyFill="1" applyBorder="1">
      <alignment/>
      <protection/>
    </xf>
    <xf numFmtId="185" fontId="26" fillId="4" borderId="0" xfId="28" applyNumberFormat="1" applyFont="1" applyFill="1" applyBorder="1" applyAlignment="1">
      <alignment horizontal="right"/>
      <protection/>
    </xf>
    <xf numFmtId="185" fontId="4" fillId="4" borderId="0" xfId="28" applyNumberFormat="1" applyFont="1" applyFill="1" applyBorder="1" applyAlignment="1">
      <alignment horizontal="right"/>
      <protection/>
    </xf>
    <xf numFmtId="185" fontId="26" fillId="4" borderId="5" xfId="28" applyNumberFormat="1" applyFont="1" applyFill="1" applyBorder="1" applyAlignment="1">
      <alignment horizontal="right"/>
      <protection/>
    </xf>
    <xf numFmtId="185" fontId="26" fillId="5" borderId="0" xfId="28" applyNumberFormat="1" applyFont="1" applyFill="1" applyBorder="1">
      <alignment/>
      <protection/>
    </xf>
    <xf numFmtId="185" fontId="4" fillId="5" borderId="0" xfId="28" applyNumberFormat="1" applyFont="1" applyFill="1" applyBorder="1">
      <alignment/>
      <protection/>
    </xf>
    <xf numFmtId="185" fontId="4" fillId="5" borderId="0" xfId="28" applyNumberFormat="1" applyFont="1" applyFill="1" applyBorder="1" applyAlignment="1">
      <alignment horizontal="right"/>
      <protection/>
    </xf>
    <xf numFmtId="202" fontId="26" fillId="5" borderId="0" xfId="15" applyNumberFormat="1" applyFont="1" applyFill="1" applyBorder="1" applyAlignment="1">
      <alignment horizontal="right"/>
    </xf>
    <xf numFmtId="202" fontId="4" fillId="4" borderId="5" xfId="15" applyNumberFormat="1" applyFont="1" applyFill="1" applyBorder="1" applyAlignment="1">
      <alignment horizontal="right"/>
    </xf>
    <xf numFmtId="185" fontId="4" fillId="5" borderId="5" xfId="28" applyNumberFormat="1" applyFont="1" applyFill="1" applyBorder="1">
      <alignment/>
      <protection/>
    </xf>
    <xf numFmtId="185" fontId="26" fillId="4" borderId="0" xfId="29" applyNumberFormat="1" applyFont="1" applyFill="1" applyBorder="1">
      <alignment/>
      <protection/>
    </xf>
    <xf numFmtId="185" fontId="4" fillId="4" borderId="0" xfId="29" applyNumberFormat="1" applyFont="1" applyFill="1" applyBorder="1">
      <alignment/>
      <protection/>
    </xf>
    <xf numFmtId="178" fontId="26" fillId="4" borderId="0" xfId="29" applyNumberFormat="1" applyFont="1" applyFill="1" applyBorder="1">
      <alignment/>
      <protection/>
    </xf>
    <xf numFmtId="2" fontId="4" fillId="4" borderId="0" xfId="29" applyNumberFormat="1" applyFont="1" applyFill="1" applyBorder="1">
      <alignment/>
      <protection/>
    </xf>
    <xf numFmtId="178" fontId="4" fillId="4" borderId="0" xfId="29" applyNumberFormat="1" applyFont="1" applyFill="1" applyBorder="1">
      <alignment/>
      <protection/>
    </xf>
    <xf numFmtId="185" fontId="4" fillId="4" borderId="0" xfId="29" applyNumberFormat="1" applyFont="1" applyFill="1" applyBorder="1" applyAlignment="1">
      <alignment horizontal="right"/>
      <protection/>
    </xf>
    <xf numFmtId="0" fontId="43" fillId="0" borderId="8" xfId="0" applyFont="1" applyBorder="1" applyAlignment="1">
      <alignment/>
    </xf>
    <xf numFmtId="0" fontId="39" fillId="0" borderId="8" xfId="0" applyFont="1" applyBorder="1" applyAlignment="1">
      <alignment horizontal="center"/>
    </xf>
    <xf numFmtId="0" fontId="44" fillId="3" borderId="8" xfId="0" applyFont="1" applyFill="1" applyBorder="1" applyAlignment="1">
      <alignment/>
    </xf>
    <xf numFmtId="0" fontId="39" fillId="0" borderId="8" xfId="0" applyFont="1" applyBorder="1" applyAlignment="1">
      <alignment/>
    </xf>
    <xf numFmtId="0" fontId="39" fillId="0" borderId="18" xfId="0" applyFont="1" applyBorder="1" applyAlignment="1">
      <alignment/>
    </xf>
    <xf numFmtId="0" fontId="39" fillId="3" borderId="18" xfId="0" applyFont="1" applyFill="1" applyBorder="1" applyAlignment="1">
      <alignment/>
    </xf>
    <xf numFmtId="2" fontId="39" fillId="0" borderId="8" xfId="0" applyNumberFormat="1" applyFont="1" applyBorder="1" applyAlignment="1">
      <alignment/>
    </xf>
    <xf numFmtId="0" fontId="39" fillId="0" borderId="7" xfId="0" applyFont="1" applyBorder="1" applyAlignment="1">
      <alignment horizontal="center"/>
    </xf>
    <xf numFmtId="0" fontId="44" fillId="3" borderId="7" xfId="0" applyFont="1" applyFill="1" applyBorder="1" applyAlignment="1">
      <alignment/>
    </xf>
    <xf numFmtId="0" fontId="39" fillId="0" borderId="7" xfId="0" applyFont="1" applyBorder="1" applyAlignment="1">
      <alignment/>
    </xf>
    <xf numFmtId="0" fontId="39" fillId="0" borderId="19" xfId="0" applyFont="1" applyBorder="1" applyAlignment="1">
      <alignment/>
    </xf>
    <xf numFmtId="0" fontId="39" fillId="3" borderId="19" xfId="0" applyFont="1" applyFill="1" applyBorder="1" applyAlignment="1">
      <alignment/>
    </xf>
    <xf numFmtId="2" fontId="39" fillId="0" borderId="7" xfId="0" applyNumberFormat="1" applyFont="1" applyBorder="1" applyAlignment="1">
      <alignment/>
    </xf>
    <xf numFmtId="0" fontId="45" fillId="2" borderId="7" xfId="0" applyFont="1" applyFill="1" applyBorder="1" applyAlignment="1">
      <alignment horizontal="center"/>
    </xf>
    <xf numFmtId="17" fontId="45" fillId="2" borderId="7" xfId="0" applyNumberFormat="1" applyFont="1" applyFill="1" applyBorder="1" applyAlignment="1">
      <alignment horizontal="center"/>
    </xf>
    <xf numFmtId="17" fontId="45" fillId="2" borderId="19" xfId="0" applyNumberFormat="1" applyFont="1" applyFill="1" applyBorder="1" applyAlignment="1">
      <alignment horizontal="center"/>
    </xf>
    <xf numFmtId="0" fontId="46" fillId="2" borderId="7" xfId="0" applyFont="1" applyFill="1" applyBorder="1" applyAlignment="1">
      <alignment horizontal="center"/>
    </xf>
    <xf numFmtId="0" fontId="44" fillId="4" borderId="7" xfId="0" applyFont="1" applyFill="1" applyBorder="1" applyAlignment="1">
      <alignment horizontal="center"/>
    </xf>
    <xf numFmtId="0" fontId="39" fillId="4" borderId="7" xfId="0" applyFont="1" applyFill="1" applyBorder="1" applyAlignment="1">
      <alignment horizontal="center"/>
    </xf>
    <xf numFmtId="0" fontId="44" fillId="4" borderId="7" xfId="0" applyFont="1" applyFill="1" applyBorder="1" applyAlignment="1">
      <alignment/>
    </xf>
    <xf numFmtId="0" fontId="44" fillId="4" borderId="19" xfId="0" applyFont="1" applyFill="1" applyBorder="1" applyAlignment="1">
      <alignment/>
    </xf>
    <xf numFmtId="0" fontId="39" fillId="4" borderId="19" xfId="0" applyFont="1" applyFill="1" applyBorder="1" applyAlignment="1">
      <alignment/>
    </xf>
    <xf numFmtId="0" fontId="39" fillId="4" borderId="7" xfId="0" applyFont="1" applyFill="1" applyBorder="1" applyAlignment="1">
      <alignment/>
    </xf>
    <xf numFmtId="17" fontId="45" fillId="4" borderId="7" xfId="0" applyNumberFormat="1" applyFont="1" applyFill="1" applyBorder="1" applyAlignment="1">
      <alignment horizontal="center"/>
    </xf>
    <xf numFmtId="185" fontId="44" fillId="4" borderId="7" xfId="0" applyNumberFormat="1" applyFont="1" applyFill="1" applyBorder="1" applyAlignment="1">
      <alignment horizontal="center"/>
    </xf>
    <xf numFmtId="178" fontId="44" fillId="4" borderId="7" xfId="0" applyNumberFormat="1" applyFont="1" applyFill="1" applyBorder="1" applyAlignment="1">
      <alignment/>
    </xf>
    <xf numFmtId="178" fontId="44" fillId="4" borderId="7" xfId="0" applyNumberFormat="1" applyFont="1" applyFill="1" applyBorder="1" applyAlignment="1">
      <alignment horizontal="right"/>
    </xf>
    <xf numFmtId="178" fontId="44" fillId="4" borderId="19" xfId="0" applyNumberFormat="1" applyFont="1" applyFill="1" applyBorder="1" applyAlignment="1">
      <alignment/>
    </xf>
    <xf numFmtId="178" fontId="44" fillId="4" borderId="19" xfId="0" applyNumberFormat="1" applyFont="1" applyFill="1" applyBorder="1" applyAlignment="1">
      <alignment horizontal="right"/>
    </xf>
    <xf numFmtId="178" fontId="44" fillId="4" borderId="7" xfId="0" applyNumberFormat="1" applyFont="1" applyFill="1" applyBorder="1" applyAlignment="1">
      <alignment/>
    </xf>
    <xf numFmtId="178" fontId="44" fillId="4" borderId="7" xfId="0" applyNumberFormat="1" applyFont="1" applyFill="1" applyBorder="1" applyAlignment="1">
      <alignment horizontal="center"/>
    </xf>
    <xf numFmtId="178" fontId="44" fillId="4" borderId="19" xfId="0" applyNumberFormat="1" applyFont="1" applyFill="1" applyBorder="1" applyAlignment="1">
      <alignment horizontal="center"/>
    </xf>
    <xf numFmtId="0" fontId="44" fillId="4" borderId="7" xfId="0" applyFont="1" applyFill="1" applyBorder="1" applyAlignment="1">
      <alignment horizontal="right"/>
    </xf>
    <xf numFmtId="182" fontId="44" fillId="4" borderId="7" xfId="0" applyNumberFormat="1" applyFont="1" applyFill="1" applyBorder="1" applyAlignment="1">
      <alignment/>
    </xf>
    <xf numFmtId="182" fontId="44" fillId="4" borderId="7" xfId="0" applyNumberFormat="1" applyFont="1" applyFill="1" applyBorder="1" applyAlignment="1">
      <alignment horizontal="center"/>
    </xf>
    <xf numFmtId="182" fontId="44" fillId="4" borderId="7" xfId="0" applyNumberFormat="1" applyFont="1" applyFill="1" applyBorder="1" applyAlignment="1">
      <alignment horizontal="right"/>
    </xf>
    <xf numFmtId="182" fontId="44" fillId="4" borderId="19" xfId="0" applyNumberFormat="1" applyFont="1" applyFill="1" applyBorder="1" applyAlignment="1">
      <alignment horizontal="right"/>
    </xf>
    <xf numFmtId="0" fontId="44" fillId="3" borderId="7" xfId="0" applyFont="1" applyFill="1" applyBorder="1" applyAlignment="1">
      <alignment horizontal="center"/>
    </xf>
    <xf numFmtId="0" fontId="46" fillId="3" borderId="7" xfId="0" applyFont="1" applyFill="1" applyBorder="1" applyAlignment="1">
      <alignment horizontal="center"/>
    </xf>
    <xf numFmtId="0" fontId="39" fillId="3" borderId="7" xfId="0" applyFont="1" applyFill="1" applyBorder="1" applyAlignment="1">
      <alignment horizontal="center"/>
    </xf>
    <xf numFmtId="0" fontId="39" fillId="3" borderId="7" xfId="0" applyFont="1" applyFill="1" applyBorder="1" applyAlignment="1">
      <alignment/>
    </xf>
    <xf numFmtId="0" fontId="47" fillId="0" borderId="7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6" fillId="3" borderId="16" xfId="0" applyFont="1" applyFill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44" fillId="3" borderId="16" xfId="0" applyFont="1" applyFill="1" applyBorder="1" applyAlignment="1">
      <alignment/>
    </xf>
    <xf numFmtId="0" fontId="39" fillId="0" borderId="16" xfId="0" applyFont="1" applyBorder="1" applyAlignment="1">
      <alignment/>
    </xf>
    <xf numFmtId="0" fontId="39" fillId="0" borderId="20" xfId="0" applyFont="1" applyBorder="1" applyAlignment="1">
      <alignment/>
    </xf>
    <xf numFmtId="0" fontId="39" fillId="3" borderId="20" xfId="0" applyFont="1" applyFill="1" applyBorder="1" applyAlignment="1">
      <alignment/>
    </xf>
    <xf numFmtId="2" fontId="39" fillId="0" borderId="16" xfId="0" applyNumberFormat="1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19" xfId="0" applyFont="1" applyBorder="1" applyAlignment="1">
      <alignment/>
    </xf>
    <xf numFmtId="0" fontId="2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20" fillId="2" borderId="22" xfId="0" applyFont="1" applyFill="1" applyBorder="1" applyAlignment="1">
      <alignment horizontal="center"/>
    </xf>
    <xf numFmtId="0" fontId="20" fillId="2" borderId="23" xfId="0" applyFont="1" applyFill="1" applyBorder="1" applyAlignment="1">
      <alignment horizontal="center"/>
    </xf>
    <xf numFmtId="0" fontId="2" fillId="3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4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20" fillId="2" borderId="24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2" xfId="19"/>
    <cellStyle name="F3" xfId="20"/>
    <cellStyle name="F4" xfId="21"/>
    <cellStyle name="F5" xfId="22"/>
    <cellStyle name="F6" xfId="23"/>
    <cellStyle name="F7" xfId="24"/>
    <cellStyle name="F8" xfId="25"/>
    <cellStyle name="Followed Hyperlink" xfId="26"/>
    <cellStyle name="Hyperlink" xfId="27"/>
    <cellStyle name="Normal_S1" xfId="28"/>
    <cellStyle name="Normal_S7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425"/>
          <c:y val="0.13675"/>
          <c:w val="0.84075"/>
          <c:h val="0.766"/>
        </c:manualLayout>
      </c:layout>
      <c:lineChart>
        <c:grouping val="standard"/>
        <c:varyColors val="0"/>
        <c:ser>
          <c:idx val="0"/>
          <c:order val="0"/>
          <c:tx>
            <c:strRef>
              <c:f>'[1]M1 M2 Chart'!$B$3</c:f>
              <c:strCache>
                <c:ptCount val="1"/>
                <c:pt idx="0">
                  <c:v>M2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'[1]M1 M2 Chart'!$AA$7:$AM$7</c:f>
              <c:numCache>
                <c:ptCount val="13"/>
                <c:pt idx="0">
                  <c:v>38411</c:v>
                </c:pt>
                <c:pt idx="1">
                  <c:v>38442</c:v>
                </c:pt>
                <c:pt idx="2">
                  <c:v>38472</c:v>
                </c:pt>
                <c:pt idx="3">
                  <c:v>38503</c:v>
                </c:pt>
                <c:pt idx="4">
                  <c:v>38533</c:v>
                </c:pt>
                <c:pt idx="5">
                  <c:v>38564</c:v>
                </c:pt>
                <c:pt idx="6">
                  <c:v>38595</c:v>
                </c:pt>
                <c:pt idx="7">
                  <c:v>38625</c:v>
                </c:pt>
                <c:pt idx="8">
                  <c:v>38656</c:v>
                </c:pt>
                <c:pt idx="9">
                  <c:v>38686</c:v>
                </c:pt>
                <c:pt idx="10">
                  <c:v>38717</c:v>
                </c:pt>
                <c:pt idx="11">
                  <c:v>38748</c:v>
                </c:pt>
                <c:pt idx="12">
                  <c:v>38776</c:v>
                </c:pt>
              </c:numCache>
            </c:numRef>
          </c:cat>
          <c:val>
            <c:numRef>
              <c:f>'[1]M1 M2 Chart'!$AA$8:$AM$8</c:f>
              <c:numCache>
                <c:ptCount val="13"/>
                <c:pt idx="0">
                  <c:v>4.172835195285553</c:v>
                </c:pt>
                <c:pt idx="1">
                  <c:v>0.9473950084909514</c:v>
                </c:pt>
                <c:pt idx="2">
                  <c:v>3.1022448170477457</c:v>
                </c:pt>
                <c:pt idx="3">
                  <c:v>-0.4527104250240302</c:v>
                </c:pt>
                <c:pt idx="4">
                  <c:v>1.5844991643956683</c:v>
                </c:pt>
                <c:pt idx="5">
                  <c:v>2.2291129691554685</c:v>
                </c:pt>
                <c:pt idx="6">
                  <c:v>-0.8783362075959111</c:v>
                </c:pt>
                <c:pt idx="7">
                  <c:v>-2.0311193007765493</c:v>
                </c:pt>
                <c:pt idx="8">
                  <c:v>1.5030860262498926</c:v>
                </c:pt>
                <c:pt idx="9">
                  <c:v>0.840754395626258</c:v>
                </c:pt>
                <c:pt idx="10">
                  <c:v>-0.5574313393873055</c:v>
                </c:pt>
                <c:pt idx="11">
                  <c:v>2.4536389181423</c:v>
                </c:pt>
                <c:pt idx="12">
                  <c:v>2.3924522733649876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'[1]M1 M2 Chart'!$B$4</c:f>
              <c:strCache>
                <c:ptCount val="1"/>
                <c:pt idx="0">
                  <c:v>M1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'[1]M1 M2 Chart'!$AA$7:$AM$7</c:f>
              <c:numCache>
                <c:ptCount val="13"/>
                <c:pt idx="0">
                  <c:v>38411</c:v>
                </c:pt>
                <c:pt idx="1">
                  <c:v>38442</c:v>
                </c:pt>
                <c:pt idx="2">
                  <c:v>38472</c:v>
                </c:pt>
                <c:pt idx="3">
                  <c:v>38503</c:v>
                </c:pt>
                <c:pt idx="4">
                  <c:v>38533</c:v>
                </c:pt>
                <c:pt idx="5">
                  <c:v>38564</c:v>
                </c:pt>
                <c:pt idx="6">
                  <c:v>38595</c:v>
                </c:pt>
                <c:pt idx="7">
                  <c:v>38625</c:v>
                </c:pt>
                <c:pt idx="8">
                  <c:v>38656</c:v>
                </c:pt>
                <c:pt idx="9">
                  <c:v>38686</c:v>
                </c:pt>
                <c:pt idx="10">
                  <c:v>38717</c:v>
                </c:pt>
                <c:pt idx="11">
                  <c:v>38748</c:v>
                </c:pt>
                <c:pt idx="12">
                  <c:v>38776</c:v>
                </c:pt>
              </c:numCache>
            </c:numRef>
          </c:cat>
          <c:val>
            <c:numRef>
              <c:f>'[1]M1 M2 Chart'!$AA$9:$AM$9</c:f>
              <c:numCache>
                <c:ptCount val="13"/>
                <c:pt idx="0">
                  <c:v>1.3333169771908566</c:v>
                </c:pt>
                <c:pt idx="1">
                  <c:v>3.4860399807870035</c:v>
                </c:pt>
                <c:pt idx="2">
                  <c:v>3.782261416190501</c:v>
                </c:pt>
                <c:pt idx="3">
                  <c:v>3.5425829646087545</c:v>
                </c:pt>
                <c:pt idx="4">
                  <c:v>-0.4592355175888246</c:v>
                </c:pt>
                <c:pt idx="5">
                  <c:v>3.653446844548424</c:v>
                </c:pt>
                <c:pt idx="6">
                  <c:v>-0.7367944562569547</c:v>
                </c:pt>
                <c:pt idx="7">
                  <c:v>-3.3139186881736546</c:v>
                </c:pt>
                <c:pt idx="8">
                  <c:v>0.6002163455232973</c:v>
                </c:pt>
                <c:pt idx="9">
                  <c:v>-1.4810470967401466</c:v>
                </c:pt>
                <c:pt idx="10">
                  <c:v>-1.869648927557499</c:v>
                </c:pt>
                <c:pt idx="11">
                  <c:v>4.799168176888532</c:v>
                </c:pt>
                <c:pt idx="12">
                  <c:v>5.032394379553214</c:v>
                </c:pt>
              </c:numCache>
            </c:numRef>
          </c:val>
          <c:smooth val="0"/>
        </c:ser>
        <c:axId val="39855213"/>
        <c:axId val="31951506"/>
      </c:lineChart>
      <c:dateAx>
        <c:axId val="39855213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low"/>
        <c:txPr>
          <a:bodyPr vert="horz" rot="-2760000"/>
          <a:lstStyle/>
          <a:p>
            <a:pPr>
              <a:defRPr lang="en-US" cap="none" sz="1050" b="0" i="0" u="none" baseline="0">
                <a:solidFill>
                  <a:srgbClr val="800000"/>
                </a:solidFill>
              </a:defRPr>
            </a:pPr>
          </a:p>
        </c:txPr>
        <c:crossAx val="31951506"/>
        <c:crosses val="autoZero"/>
        <c:auto val="0"/>
        <c:noMultiLvlLbl val="0"/>
      </c:dateAx>
      <c:valAx>
        <c:axId val="319515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800000"/>
                    </a:solidFill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solidFill>
                  <a:srgbClr val="800000"/>
                </a:solidFill>
              </a:defRPr>
            </a:pPr>
          </a:p>
        </c:txPr>
        <c:crossAx val="398552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075"/>
          <c:y val="0.9465"/>
          <c:w val="0.48325"/>
          <c:h val="0.04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8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9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0.10475"/>
          <c:w val="0.94025"/>
          <c:h val="0.84175"/>
        </c:manualLayout>
      </c:layout>
      <c:lineChart>
        <c:grouping val="standard"/>
        <c:varyColors val="0"/>
        <c:ser>
          <c:idx val="0"/>
          <c:order val="0"/>
          <c:tx>
            <c:strRef>
              <c:f>'[1] PSC chart'!$B$11</c:f>
              <c:strCache>
                <c:ptCount val="1"/>
                <c:pt idx="0">
                  <c:v>Dom claims</c:v>
                </c:pt>
              </c:strCache>
            </c:strRef>
          </c:tx>
          <c:spPr>
            <a:ln w="254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 PSC chart'!$Z$10:$AL$10</c:f>
              <c:numCache>
                <c:ptCount val="13"/>
                <c:pt idx="0">
                  <c:v>38411</c:v>
                </c:pt>
                <c:pt idx="1">
                  <c:v>38442</c:v>
                </c:pt>
                <c:pt idx="2">
                  <c:v>38472</c:v>
                </c:pt>
                <c:pt idx="3">
                  <c:v>38503</c:v>
                </c:pt>
                <c:pt idx="4">
                  <c:v>38533</c:v>
                </c:pt>
                <c:pt idx="5">
                  <c:v>38564</c:v>
                </c:pt>
                <c:pt idx="6">
                  <c:v>38595</c:v>
                </c:pt>
                <c:pt idx="7">
                  <c:v>38625</c:v>
                </c:pt>
                <c:pt idx="8">
                  <c:v>38656</c:v>
                </c:pt>
                <c:pt idx="9">
                  <c:v>38686</c:v>
                </c:pt>
                <c:pt idx="10">
                  <c:v>38717</c:v>
                </c:pt>
                <c:pt idx="11">
                  <c:v>38748</c:v>
                </c:pt>
                <c:pt idx="12">
                  <c:v>38776</c:v>
                </c:pt>
              </c:numCache>
            </c:numRef>
          </c:cat>
          <c:val>
            <c:numRef>
              <c:f>'[1] PSC chart'!$Z$11:$AL$11</c:f>
              <c:numCache>
                <c:ptCount val="13"/>
                <c:pt idx="0">
                  <c:v>2.579281924968504</c:v>
                </c:pt>
                <c:pt idx="1">
                  <c:v>3.6589383574082444</c:v>
                </c:pt>
                <c:pt idx="2">
                  <c:v>1.1226836722368163</c:v>
                </c:pt>
                <c:pt idx="3">
                  <c:v>3.3588550766543</c:v>
                </c:pt>
                <c:pt idx="4">
                  <c:v>2.0751914983666966</c:v>
                </c:pt>
                <c:pt idx="5">
                  <c:v>-0.45158553090269665</c:v>
                </c:pt>
                <c:pt idx="6">
                  <c:v>2.5666813635568806</c:v>
                </c:pt>
                <c:pt idx="7">
                  <c:v>1.7503961138056554</c:v>
                </c:pt>
                <c:pt idx="8">
                  <c:v>-0.9844430010772701</c:v>
                </c:pt>
                <c:pt idx="9">
                  <c:v>2.87051915691682</c:v>
                </c:pt>
                <c:pt idx="10">
                  <c:v>3.1850287501738674</c:v>
                </c:pt>
                <c:pt idx="11">
                  <c:v>-1.9992946206865863</c:v>
                </c:pt>
                <c:pt idx="12">
                  <c:v>2.6492085049404532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 PSC chart'!$B$12</c:f>
              <c:strCache>
                <c:ptCount val="1"/>
                <c:pt idx="0">
                  <c:v>Other Sectors Claims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 PSC chart'!$Z$10:$AL$10</c:f>
              <c:numCache>
                <c:ptCount val="13"/>
                <c:pt idx="0">
                  <c:v>38411</c:v>
                </c:pt>
                <c:pt idx="1">
                  <c:v>38442</c:v>
                </c:pt>
                <c:pt idx="2">
                  <c:v>38472</c:v>
                </c:pt>
                <c:pt idx="3">
                  <c:v>38503</c:v>
                </c:pt>
                <c:pt idx="4">
                  <c:v>38533</c:v>
                </c:pt>
                <c:pt idx="5">
                  <c:v>38564</c:v>
                </c:pt>
                <c:pt idx="6">
                  <c:v>38595</c:v>
                </c:pt>
                <c:pt idx="7">
                  <c:v>38625</c:v>
                </c:pt>
                <c:pt idx="8">
                  <c:v>38656</c:v>
                </c:pt>
                <c:pt idx="9">
                  <c:v>38686</c:v>
                </c:pt>
                <c:pt idx="10">
                  <c:v>38717</c:v>
                </c:pt>
                <c:pt idx="11">
                  <c:v>38748</c:v>
                </c:pt>
                <c:pt idx="12">
                  <c:v>38776</c:v>
                </c:pt>
              </c:numCache>
            </c:numRef>
          </c:cat>
          <c:val>
            <c:numRef>
              <c:f>'[1] PSC chart'!$Z$12:$AL$12</c:f>
              <c:numCache>
                <c:ptCount val="13"/>
                <c:pt idx="0">
                  <c:v>0.23442557008624926</c:v>
                </c:pt>
                <c:pt idx="1">
                  <c:v>2.3923169874069745</c:v>
                </c:pt>
                <c:pt idx="2">
                  <c:v>1.9765002042752875</c:v>
                </c:pt>
                <c:pt idx="3">
                  <c:v>1.9641104297318202</c:v>
                </c:pt>
                <c:pt idx="4">
                  <c:v>0.22176876452806404</c:v>
                </c:pt>
                <c:pt idx="5">
                  <c:v>2.0671738927704517</c:v>
                </c:pt>
                <c:pt idx="6">
                  <c:v>1.249947427449018</c:v>
                </c:pt>
                <c:pt idx="7">
                  <c:v>1.1938160015464723</c:v>
                </c:pt>
                <c:pt idx="8">
                  <c:v>0.9940454605630606</c:v>
                </c:pt>
                <c:pt idx="9">
                  <c:v>1.9456453252726835</c:v>
                </c:pt>
                <c:pt idx="10">
                  <c:v>1.9982868631922939</c:v>
                </c:pt>
                <c:pt idx="11">
                  <c:v>0.28546783446663965</c:v>
                </c:pt>
                <c:pt idx="12">
                  <c:v>2.8873975497460442</c:v>
                </c:pt>
              </c:numCache>
            </c:numRef>
          </c:val>
          <c:smooth val="0"/>
        </c:ser>
        <c:axId val="15708219"/>
        <c:axId val="27229240"/>
      </c:lineChart>
      <c:dateAx>
        <c:axId val="15708219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low"/>
        <c:txPr>
          <a:bodyPr vert="horz" rot="-4080000"/>
          <a:lstStyle/>
          <a:p>
            <a:pPr>
              <a:defRPr lang="en-US" cap="none" sz="1075" b="0" i="0" u="none" baseline="0">
                <a:solidFill>
                  <a:srgbClr val="800000"/>
                </a:solidFill>
              </a:defRPr>
            </a:pPr>
          </a:p>
        </c:txPr>
        <c:crossAx val="27229240"/>
        <c:crossesAt val="0"/>
        <c:auto val="0"/>
        <c:noMultiLvlLbl val="0"/>
      </c:dateAx>
      <c:valAx>
        <c:axId val="27229240"/>
        <c:scaling>
          <c:orientation val="minMax"/>
          <c:max val="6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800000"/>
                    </a:solidFill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800000"/>
                </a:solidFill>
              </a:defRPr>
            </a:pPr>
          </a:p>
        </c:txPr>
        <c:crossAx val="15708219"/>
        <c:crossesAt val="1"/>
        <c:crossBetween val="between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175"/>
          <c:y val="0.95075"/>
          <c:w val="0.4455"/>
          <c:h val="0.049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8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9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"/>
          <c:w val="0.89425"/>
          <c:h val="0.87225"/>
        </c:manualLayout>
      </c:layout>
      <c:lineChart>
        <c:grouping val="standard"/>
        <c:varyColors val="0"/>
        <c:ser>
          <c:idx val="0"/>
          <c:order val="0"/>
          <c:tx>
            <c:v>Bank Rate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'[3]Data'!$D$178:$D$190</c:f>
              <c:numCache>
                <c:ptCount val="13"/>
                <c:pt idx="0">
                  <c:v>38385</c:v>
                </c:pt>
                <c:pt idx="1">
                  <c:v>38413</c:v>
                </c:pt>
                <c:pt idx="2">
                  <c:v>38444</c:v>
                </c:pt>
                <c:pt idx="3">
                  <c:v>38474</c:v>
                </c:pt>
                <c:pt idx="4">
                  <c:v>38505</c:v>
                </c:pt>
                <c:pt idx="5">
                  <c:v>38535</c:v>
                </c:pt>
                <c:pt idx="6">
                  <c:v>38566</c:v>
                </c:pt>
                <c:pt idx="7">
                  <c:v>38597</c:v>
                </c:pt>
                <c:pt idx="8">
                  <c:v>38627</c:v>
                </c:pt>
                <c:pt idx="9">
                  <c:v>38658</c:v>
                </c:pt>
                <c:pt idx="10">
                  <c:v>38688</c:v>
                </c:pt>
                <c:pt idx="11">
                  <c:v>38719</c:v>
                </c:pt>
                <c:pt idx="12">
                  <c:v>38750</c:v>
                </c:pt>
              </c:numCache>
            </c:numRef>
          </c:cat>
          <c:val>
            <c:numRef>
              <c:f>'[3]Data'!$F$178:$F$190</c:f>
              <c:numCache>
                <c:ptCount val="13"/>
                <c:pt idx="0">
                  <c:v>7.5</c:v>
                </c:pt>
                <c:pt idx="1">
                  <c:v>7.5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'[3]Data'!$K$5:$K$6</c:f>
              <c:strCache>
                <c:ptCount val="1"/>
                <c:pt idx="0">
                  <c:v>Deposit  Rates 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cat>
            <c:numRef>
              <c:f>'[3]Data'!$D$178:$D$190</c:f>
              <c:numCache>
                <c:ptCount val="13"/>
                <c:pt idx="0">
                  <c:v>38385</c:v>
                </c:pt>
                <c:pt idx="1">
                  <c:v>38413</c:v>
                </c:pt>
                <c:pt idx="2">
                  <c:v>38444</c:v>
                </c:pt>
                <c:pt idx="3">
                  <c:v>38474</c:v>
                </c:pt>
                <c:pt idx="4">
                  <c:v>38505</c:v>
                </c:pt>
                <c:pt idx="5">
                  <c:v>38535</c:v>
                </c:pt>
                <c:pt idx="6">
                  <c:v>38566</c:v>
                </c:pt>
                <c:pt idx="7">
                  <c:v>38597</c:v>
                </c:pt>
                <c:pt idx="8">
                  <c:v>38627</c:v>
                </c:pt>
                <c:pt idx="9">
                  <c:v>38658</c:v>
                </c:pt>
                <c:pt idx="10">
                  <c:v>38688</c:v>
                </c:pt>
                <c:pt idx="11">
                  <c:v>38719</c:v>
                </c:pt>
                <c:pt idx="12">
                  <c:v>38750</c:v>
                </c:pt>
              </c:numCache>
            </c:numRef>
          </c:cat>
          <c:val>
            <c:numRef>
              <c:f>'[3]Data'!$K$178:$K$190</c:f>
              <c:numCache>
                <c:ptCount val="13"/>
                <c:pt idx="0">
                  <c:v>6.3</c:v>
                </c:pt>
                <c:pt idx="1">
                  <c:v>6.53</c:v>
                </c:pt>
                <c:pt idx="2">
                  <c:v>6.5</c:v>
                </c:pt>
                <c:pt idx="3">
                  <c:v>6.31</c:v>
                </c:pt>
                <c:pt idx="4">
                  <c:v>6.21</c:v>
                </c:pt>
                <c:pt idx="5">
                  <c:v>6.13</c:v>
                </c:pt>
                <c:pt idx="6">
                  <c:v>6.06</c:v>
                </c:pt>
                <c:pt idx="7">
                  <c:v>6.13</c:v>
                </c:pt>
                <c:pt idx="8">
                  <c:v>5.98</c:v>
                </c:pt>
                <c:pt idx="9">
                  <c:v>6.02</c:v>
                </c:pt>
                <c:pt idx="10">
                  <c:v>5.99</c:v>
                </c:pt>
                <c:pt idx="11">
                  <c:v>6.09</c:v>
                </c:pt>
                <c:pt idx="12">
                  <c:v>6.1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'[3]Data'!$L$5:$L$6</c:f>
              <c:strCache>
                <c:ptCount val="1"/>
                <c:pt idx="0">
                  <c:v>Lending  Rates 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003300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'[3]Data'!$D$178:$D$190</c:f>
              <c:numCache>
                <c:ptCount val="13"/>
                <c:pt idx="0">
                  <c:v>38385</c:v>
                </c:pt>
                <c:pt idx="1">
                  <c:v>38413</c:v>
                </c:pt>
                <c:pt idx="2">
                  <c:v>38444</c:v>
                </c:pt>
                <c:pt idx="3">
                  <c:v>38474</c:v>
                </c:pt>
                <c:pt idx="4">
                  <c:v>38505</c:v>
                </c:pt>
                <c:pt idx="5">
                  <c:v>38535</c:v>
                </c:pt>
                <c:pt idx="6">
                  <c:v>38566</c:v>
                </c:pt>
                <c:pt idx="7">
                  <c:v>38597</c:v>
                </c:pt>
                <c:pt idx="8">
                  <c:v>38627</c:v>
                </c:pt>
                <c:pt idx="9">
                  <c:v>38658</c:v>
                </c:pt>
                <c:pt idx="10">
                  <c:v>38688</c:v>
                </c:pt>
                <c:pt idx="11">
                  <c:v>38719</c:v>
                </c:pt>
                <c:pt idx="12">
                  <c:v>38750</c:v>
                </c:pt>
              </c:numCache>
            </c:numRef>
          </c:cat>
          <c:val>
            <c:numRef>
              <c:f>'[3]Data'!$L$178:$L$190</c:f>
              <c:numCache>
                <c:ptCount val="13"/>
                <c:pt idx="0">
                  <c:v>10.66</c:v>
                </c:pt>
                <c:pt idx="1">
                  <c:v>10.56</c:v>
                </c:pt>
                <c:pt idx="2">
                  <c:v>10.66</c:v>
                </c:pt>
                <c:pt idx="3">
                  <c:v>10.58</c:v>
                </c:pt>
                <c:pt idx="4">
                  <c:v>10.52</c:v>
                </c:pt>
                <c:pt idx="5">
                  <c:v>10.52</c:v>
                </c:pt>
                <c:pt idx="6">
                  <c:v>10.5</c:v>
                </c:pt>
                <c:pt idx="7">
                  <c:v>10.77</c:v>
                </c:pt>
                <c:pt idx="8">
                  <c:v>10.55</c:v>
                </c:pt>
                <c:pt idx="9">
                  <c:v>10.54</c:v>
                </c:pt>
                <c:pt idx="10">
                  <c:v>10.78</c:v>
                </c:pt>
                <c:pt idx="11">
                  <c:v>10.46</c:v>
                </c:pt>
                <c:pt idx="12">
                  <c:v>10.69</c:v>
                </c:pt>
              </c:numCache>
            </c:numRef>
          </c:val>
          <c:smooth val="0"/>
        </c:ser>
        <c:marker val="1"/>
        <c:axId val="33863577"/>
        <c:axId val="49939118"/>
      </c:lineChart>
      <c:catAx>
        <c:axId val="33863577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low"/>
        <c:txPr>
          <a:bodyPr vert="horz" rot="-2640000"/>
          <a:lstStyle/>
          <a:p>
            <a:pPr>
              <a:defRPr lang="en-US" cap="none" sz="1150" b="0" i="0" u="none" baseline="0">
                <a:solidFill>
                  <a:srgbClr val="800000"/>
                </a:solidFill>
              </a:defRPr>
            </a:pPr>
          </a:p>
        </c:txPr>
        <c:crossAx val="49939118"/>
        <c:crossesAt val="0"/>
        <c:auto val="1"/>
        <c:lblOffset val="100"/>
        <c:noMultiLvlLbl val="0"/>
      </c:catAx>
      <c:valAx>
        <c:axId val="49939118"/>
        <c:scaling>
          <c:orientation val="minMax"/>
          <c:max val="12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per cent</a:t>
                </a:r>
              </a:p>
            </c:rich>
          </c:tx>
          <c:layout/>
          <c:overlay val="0"/>
          <c:spPr>
            <a:solidFill>
              <a:srgbClr val="FFFFCC"/>
            </a:solidFill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33863577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23275"/>
          <c:y val="0.88925"/>
          <c:w val="0.55725"/>
          <c:h val="0.07375"/>
        </c:manualLayout>
      </c:layout>
      <c:overlay val="0"/>
      <c:spPr>
        <a:ln w="3175">
          <a:solid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8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25400">
      <a:solid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63"/>
          <c:w val="0.8645"/>
          <c:h val="0.8515"/>
        </c:manualLayout>
      </c:layout>
      <c:lineChart>
        <c:grouping val="standard"/>
        <c:varyColors val="0"/>
        <c:ser>
          <c:idx val="0"/>
          <c:order val="0"/>
          <c:tx>
            <c:v>Overall index</c:v>
          </c:tx>
          <c:spPr>
            <a:ln w="381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cat>
            <c:numRef>
              <c:f>'[2]Monthly indices'!$B$112:$B$124</c:f>
              <c:numCache>
                <c:ptCount val="13"/>
                <c:pt idx="0">
                  <c:v>38384</c:v>
                </c:pt>
                <c:pt idx="1">
                  <c:v>38412</c:v>
                </c:pt>
                <c:pt idx="2">
                  <c:v>38443</c:v>
                </c:pt>
                <c:pt idx="3">
                  <c:v>38473</c:v>
                </c:pt>
                <c:pt idx="4">
                  <c:v>38504</c:v>
                </c:pt>
                <c:pt idx="5">
                  <c:v>38534</c:v>
                </c:pt>
                <c:pt idx="6">
                  <c:v>38565</c:v>
                </c:pt>
                <c:pt idx="7">
                  <c:v>38596</c:v>
                </c:pt>
                <c:pt idx="8">
                  <c:v>38626</c:v>
                </c:pt>
                <c:pt idx="9">
                  <c:v>38657</c:v>
                </c:pt>
                <c:pt idx="10">
                  <c:v>38687</c:v>
                </c:pt>
                <c:pt idx="11">
                  <c:v>38718</c:v>
                </c:pt>
                <c:pt idx="12">
                  <c:v>38749</c:v>
                </c:pt>
              </c:numCache>
            </c:numRef>
          </c:cat>
          <c:val>
            <c:numRef>
              <c:f>'[2]Monthly indices'!$C$112:$C$124</c:f>
              <c:numCache>
                <c:ptCount val="13"/>
                <c:pt idx="0">
                  <c:v>446.2</c:v>
                </c:pt>
                <c:pt idx="1">
                  <c:v>438.66</c:v>
                </c:pt>
                <c:pt idx="2">
                  <c:v>410.11</c:v>
                </c:pt>
                <c:pt idx="3">
                  <c:v>410.11</c:v>
                </c:pt>
                <c:pt idx="4">
                  <c:v>450.45</c:v>
                </c:pt>
                <c:pt idx="5">
                  <c:v>484.19</c:v>
                </c:pt>
                <c:pt idx="6">
                  <c:v>482.53</c:v>
                </c:pt>
                <c:pt idx="7">
                  <c:v>523.72</c:v>
                </c:pt>
                <c:pt idx="8">
                  <c:v>520.07</c:v>
                </c:pt>
                <c:pt idx="9">
                  <c:v>536.25</c:v>
                </c:pt>
                <c:pt idx="10">
                  <c:v>581.68</c:v>
                </c:pt>
                <c:pt idx="11">
                  <c:v>633</c:v>
                </c:pt>
                <c:pt idx="12">
                  <c:v>621.84</c:v>
                </c:pt>
              </c:numCache>
            </c:numRef>
          </c:val>
          <c:smooth val="1"/>
        </c:ser>
        <c:hiLowLines>
          <c:spPr>
            <a:ln w="3175">
              <a:solidFill/>
            </a:ln>
          </c:spPr>
        </c:hiLowLines>
        <c:axId val="29527559"/>
        <c:axId val="21456756"/>
      </c:lineChart>
      <c:lineChart>
        <c:grouping val="standard"/>
        <c:varyColors val="0"/>
        <c:ser>
          <c:idx val="1"/>
          <c:order val="1"/>
          <c:tx>
            <c:strRef>
              <c:f>'[2]Monthly indices'!$D$2</c:f>
              <c:strCache>
                <c:ptCount val="1"/>
                <c:pt idx="0">
                  <c:v>NSX Local index (RHS)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noFill/>
              </a:ln>
            </c:spPr>
          </c:marker>
          <c:val>
            <c:numRef>
              <c:f>'[2]Monthly indices'!$D$112:$D$124</c:f>
              <c:numCache>
                <c:ptCount val="13"/>
                <c:pt idx="0">
                  <c:v>65.92</c:v>
                </c:pt>
                <c:pt idx="1">
                  <c:v>65.11</c:v>
                </c:pt>
                <c:pt idx="2">
                  <c:v>64.83</c:v>
                </c:pt>
                <c:pt idx="3">
                  <c:v>64.83</c:v>
                </c:pt>
                <c:pt idx="4">
                  <c:v>67.42</c:v>
                </c:pt>
                <c:pt idx="5">
                  <c:v>66.66</c:v>
                </c:pt>
                <c:pt idx="6">
                  <c:v>66.3</c:v>
                </c:pt>
                <c:pt idx="7">
                  <c:v>65.64</c:v>
                </c:pt>
                <c:pt idx="8">
                  <c:v>65.04</c:v>
                </c:pt>
                <c:pt idx="9">
                  <c:v>69.98</c:v>
                </c:pt>
                <c:pt idx="10">
                  <c:v>71.74</c:v>
                </c:pt>
                <c:pt idx="11">
                  <c:v>74</c:v>
                </c:pt>
                <c:pt idx="12">
                  <c:v>77.02</c:v>
                </c:pt>
              </c:numCache>
            </c:numRef>
          </c:val>
          <c:smooth val="0"/>
        </c:ser>
        <c:axId val="63466245"/>
        <c:axId val="8267786"/>
      </c:lineChart>
      <c:catAx>
        <c:axId val="29527559"/>
        <c:scaling>
          <c:orientation val="minMax"/>
        </c:scaling>
        <c:axPos val="b"/>
        <c:delete val="0"/>
        <c:numFmt formatCode="[$-409]mmm\-yy;@" sourceLinked="0"/>
        <c:majorTickMark val="in"/>
        <c:minorTickMark val="none"/>
        <c:tickLblPos val="nextTo"/>
        <c:txPr>
          <a:bodyPr vert="horz" rot="-3480000"/>
          <a:lstStyle/>
          <a:p>
            <a:pPr>
              <a:defRPr lang="en-US" cap="none" sz="1175" b="0" i="0" u="none" baseline="0">
                <a:solidFill>
                  <a:srgbClr val="800000"/>
                </a:solidFill>
              </a:defRPr>
            </a:pPr>
          </a:p>
        </c:txPr>
        <c:crossAx val="21456756"/>
        <c:crosses val="autoZero"/>
        <c:auto val="1"/>
        <c:lblOffset val="100"/>
        <c:noMultiLvlLbl val="0"/>
      </c:catAx>
      <c:valAx>
        <c:axId val="214567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Index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solidFill>
                  <a:srgbClr val="993366"/>
                </a:solidFill>
              </a:defRPr>
            </a:pPr>
          </a:p>
        </c:txPr>
        <c:crossAx val="29527559"/>
        <c:crossesAt val="1"/>
        <c:crossBetween val="between"/>
        <c:dispUnits/>
      </c:valAx>
      <c:catAx>
        <c:axId val="63466245"/>
        <c:scaling>
          <c:orientation val="minMax"/>
        </c:scaling>
        <c:axPos val="b"/>
        <c:delete val="1"/>
        <c:majorTickMark val="cross"/>
        <c:minorTickMark val="none"/>
        <c:tickLblPos val="nextTo"/>
        <c:crossAx val="8267786"/>
        <c:crosses val="autoZero"/>
        <c:auto val="1"/>
        <c:lblOffset val="100"/>
        <c:noMultiLvlLbl val="0"/>
      </c:catAx>
      <c:valAx>
        <c:axId val="826778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solidFill>
                  <a:srgbClr val="993366"/>
                </a:solidFill>
              </a:defRPr>
            </a:pPr>
          </a:p>
        </c:txPr>
        <c:crossAx val="6346624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4"/>
          <c:y val="0.93025"/>
          <c:w val="0.48675"/>
          <c:h val="0.06975"/>
        </c:manualLayout>
      </c:layout>
      <c:overlay val="0"/>
    </c:legend>
    <c:plotVisOnly val="1"/>
    <c:dispBlanksAs val="gap"/>
    <c:showDLblsOverMax val="0"/>
  </c:chart>
  <c:spPr>
    <a:solidFill>
      <a:srgbClr val="FFFFCC"/>
    </a:solidFill>
    <a:ln w="3175">
      <a:solidFill/>
    </a:ln>
  </c:spPr>
  <c:txPr>
    <a:bodyPr vert="horz" rot="0"/>
    <a:lstStyle/>
    <a:p>
      <a:pPr>
        <a:defRPr lang="en-US" cap="none" sz="1200" b="0" i="0" u="none" baseline="0">
          <a:solidFill>
            <a:srgbClr val="993366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03"/>
          <c:w val="0.97425"/>
          <c:h val="0.871"/>
        </c:manualLayout>
      </c:layout>
      <c:lineChart>
        <c:grouping val="standard"/>
        <c:varyColors val="0"/>
        <c:ser>
          <c:idx val="0"/>
          <c:order val="0"/>
          <c:tx>
            <c:strRef>
              <c:f>'[4]Inflation CPIX -NCPI'!$C$5</c:f>
              <c:strCache>
                <c:ptCount val="1"/>
                <c:pt idx="0">
                  <c:v>RSA CPIX</c:v>
                </c:pt>
              </c:strCache>
            </c:strRef>
          </c:tx>
          <c:spPr>
            <a:ln w="381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noFill/>
              </a:ln>
            </c:spPr>
          </c:marker>
          <c:cat>
            <c:numRef>
              <c:f>'[4]Inflation CPIX -NCPI'!$B$6:$B$18</c:f>
              <c:numCache>
                <c:ptCount val="13"/>
                <c:pt idx="0">
                  <c:v>38385</c:v>
                </c:pt>
                <c:pt idx="1">
                  <c:v>38413</c:v>
                </c:pt>
                <c:pt idx="2">
                  <c:v>38444</c:v>
                </c:pt>
                <c:pt idx="3">
                  <c:v>38474</c:v>
                </c:pt>
                <c:pt idx="4">
                  <c:v>38505</c:v>
                </c:pt>
                <c:pt idx="5">
                  <c:v>38535</c:v>
                </c:pt>
                <c:pt idx="6">
                  <c:v>38566</c:v>
                </c:pt>
                <c:pt idx="7">
                  <c:v>38597</c:v>
                </c:pt>
                <c:pt idx="8">
                  <c:v>38627</c:v>
                </c:pt>
                <c:pt idx="9">
                  <c:v>38658</c:v>
                </c:pt>
                <c:pt idx="10">
                  <c:v>38688</c:v>
                </c:pt>
                <c:pt idx="11">
                  <c:v>38719</c:v>
                </c:pt>
                <c:pt idx="12">
                  <c:v>38750</c:v>
                </c:pt>
              </c:numCache>
            </c:numRef>
          </c:cat>
          <c:val>
            <c:numRef>
              <c:f>'[4]Inflation CPIX -NCPI'!$C$6:$C$18</c:f>
              <c:numCache>
                <c:ptCount val="13"/>
                <c:pt idx="0">
                  <c:v>3.1</c:v>
                </c:pt>
                <c:pt idx="1">
                  <c:v>3</c:v>
                </c:pt>
                <c:pt idx="2">
                  <c:v>3.8</c:v>
                </c:pt>
                <c:pt idx="3">
                  <c:v>3.9</c:v>
                </c:pt>
                <c:pt idx="4">
                  <c:v>3.5</c:v>
                </c:pt>
                <c:pt idx="5">
                  <c:v>4.2</c:v>
                </c:pt>
                <c:pt idx="6">
                  <c:v>4.8</c:v>
                </c:pt>
                <c:pt idx="7">
                  <c:v>4.7</c:v>
                </c:pt>
                <c:pt idx="8">
                  <c:v>4.4</c:v>
                </c:pt>
                <c:pt idx="9">
                  <c:v>3.7</c:v>
                </c:pt>
                <c:pt idx="10">
                  <c:v>4</c:v>
                </c:pt>
                <c:pt idx="11">
                  <c:v>4.3</c:v>
                </c:pt>
                <c:pt idx="12">
                  <c:v>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'[4]Inflation CPIX -NCPI'!$D$5</c:f>
              <c:strCache>
                <c:ptCount val="1"/>
                <c:pt idx="0">
                  <c:v>NCPI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noFill/>
              <a:ln>
                <a:noFill/>
              </a:ln>
            </c:spPr>
          </c:marker>
          <c:cat>
            <c:numRef>
              <c:f>'[4]Inflation CPIX -NCPI'!$B$6:$B$18</c:f>
              <c:numCache>
                <c:ptCount val="13"/>
                <c:pt idx="0">
                  <c:v>38385</c:v>
                </c:pt>
                <c:pt idx="1">
                  <c:v>38413</c:v>
                </c:pt>
                <c:pt idx="2">
                  <c:v>38444</c:v>
                </c:pt>
                <c:pt idx="3">
                  <c:v>38474</c:v>
                </c:pt>
                <c:pt idx="4">
                  <c:v>38505</c:v>
                </c:pt>
                <c:pt idx="5">
                  <c:v>38535</c:v>
                </c:pt>
                <c:pt idx="6">
                  <c:v>38566</c:v>
                </c:pt>
                <c:pt idx="7">
                  <c:v>38597</c:v>
                </c:pt>
                <c:pt idx="8">
                  <c:v>38627</c:v>
                </c:pt>
                <c:pt idx="9">
                  <c:v>38658</c:v>
                </c:pt>
                <c:pt idx="10">
                  <c:v>38688</c:v>
                </c:pt>
                <c:pt idx="11">
                  <c:v>38719</c:v>
                </c:pt>
                <c:pt idx="12">
                  <c:v>38750</c:v>
                </c:pt>
              </c:numCache>
            </c:numRef>
          </c:cat>
          <c:val>
            <c:numRef>
              <c:f>'[4]Inflation CPIX -NCPI'!$D$6:$D$18</c:f>
              <c:numCache>
                <c:ptCount val="13"/>
                <c:pt idx="0">
                  <c:v>2.6</c:v>
                </c:pt>
                <c:pt idx="1">
                  <c:v>1.7</c:v>
                </c:pt>
                <c:pt idx="2">
                  <c:v>1.6</c:v>
                </c:pt>
                <c:pt idx="3">
                  <c:v>0.9</c:v>
                </c:pt>
                <c:pt idx="4">
                  <c:v>1.3</c:v>
                </c:pt>
                <c:pt idx="5">
                  <c:v>1.7</c:v>
                </c:pt>
                <c:pt idx="6">
                  <c:v>2.2</c:v>
                </c:pt>
                <c:pt idx="7">
                  <c:v>2.9</c:v>
                </c:pt>
                <c:pt idx="8">
                  <c:v>2.9</c:v>
                </c:pt>
                <c:pt idx="9">
                  <c:v>3.4</c:v>
                </c:pt>
                <c:pt idx="10">
                  <c:v>3.4</c:v>
                </c:pt>
                <c:pt idx="11">
                  <c:v>3.6</c:v>
                </c:pt>
                <c:pt idx="12">
                  <c:v>3.7</c:v>
                </c:pt>
              </c:numCache>
            </c:numRef>
          </c:val>
          <c:smooth val="0"/>
        </c:ser>
        <c:axId val="35539475"/>
        <c:axId val="4543984"/>
      </c:lineChart>
      <c:catAx>
        <c:axId val="35539475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txPr>
          <a:bodyPr vert="horz" rot="-2340000"/>
          <a:lstStyle/>
          <a:p>
            <a:pPr>
              <a:defRPr lang="en-US" cap="none" sz="1150" b="0" i="0" u="none" baseline="0">
                <a:solidFill>
                  <a:srgbClr val="800000"/>
                </a:solidFill>
              </a:defRPr>
            </a:pPr>
          </a:p>
        </c:txPr>
        <c:crossAx val="4543984"/>
        <c:crosses val="autoZero"/>
        <c:auto val="1"/>
        <c:lblOffset val="100"/>
        <c:noMultiLvlLbl val="0"/>
      </c:catAx>
      <c:valAx>
        <c:axId val="4543984"/>
        <c:scaling>
          <c:orientation val="minMax"/>
          <c:max val="9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75" b="0" i="0" u="none" baseline="0">
                <a:solidFill>
                  <a:srgbClr val="800000"/>
                </a:solidFill>
              </a:defRPr>
            </a:pPr>
          </a:p>
        </c:txPr>
        <c:crossAx val="35539475"/>
        <c:crossesAt val="1"/>
        <c:crossBetween val="between"/>
        <c:dispUnits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5"/>
          <c:y val="0.92825"/>
          <c:w val="0.44375"/>
          <c:h val="0.05325"/>
        </c:manualLayout>
      </c:layout>
      <c:overlay val="0"/>
      <c:txPr>
        <a:bodyPr vert="horz" rot="0"/>
        <a:lstStyle/>
        <a:p>
          <a:pPr>
            <a:defRPr lang="en-US" cap="none" sz="1175" b="0" i="0" u="none" baseline="0">
              <a:solidFill>
                <a:srgbClr val="8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5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4625"/>
          <c:w val="0.9455"/>
          <c:h val="0.9537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'S5'!$AA$4:$AM$4</c:f>
              <c:strCache>
                <c:ptCount val="13"/>
                <c:pt idx="0">
                  <c:v>38384</c:v>
                </c:pt>
                <c:pt idx="1">
                  <c:v>38412</c:v>
                </c:pt>
                <c:pt idx="2">
                  <c:v>38443</c:v>
                </c:pt>
                <c:pt idx="3">
                  <c:v>38473</c:v>
                </c:pt>
                <c:pt idx="4">
                  <c:v>38504</c:v>
                </c:pt>
                <c:pt idx="5">
                  <c:v>38534</c:v>
                </c:pt>
                <c:pt idx="6">
                  <c:v>38565</c:v>
                </c:pt>
                <c:pt idx="7">
                  <c:v>38596</c:v>
                </c:pt>
                <c:pt idx="8">
                  <c:v>38626</c:v>
                </c:pt>
                <c:pt idx="9">
                  <c:v>38657</c:v>
                </c:pt>
                <c:pt idx="10">
                  <c:v>38687</c:v>
                </c:pt>
                <c:pt idx="11">
                  <c:v>38718</c:v>
                </c:pt>
                <c:pt idx="12">
                  <c:v>38749</c:v>
                </c:pt>
              </c:strCache>
            </c:strRef>
          </c:cat>
          <c:val>
            <c:numRef>
              <c:f>'S5'!$AA$13:$AM$13</c:f>
              <c:numCache>
                <c:ptCount val="13"/>
                <c:pt idx="0">
                  <c:v>0.16622064127923405</c:v>
                </c:pt>
                <c:pt idx="1">
                  <c:v>0.16638658258598024</c:v>
                </c:pt>
                <c:pt idx="2">
                  <c:v>0.16254612246224867</c:v>
                </c:pt>
                <c:pt idx="3">
                  <c:v>0.1579429510060966</c:v>
                </c:pt>
                <c:pt idx="4">
                  <c:v>0.14814814814814814</c:v>
                </c:pt>
                <c:pt idx="5">
                  <c:v>0.14917580368464234</c:v>
                </c:pt>
                <c:pt idx="6">
                  <c:v>0.15467904098994587</c:v>
                </c:pt>
                <c:pt idx="7">
                  <c:v>0.1572871118940514</c:v>
                </c:pt>
                <c:pt idx="8">
                  <c:v>0.15205425295745523</c:v>
                </c:pt>
                <c:pt idx="9">
                  <c:v>0.15335071308081583</c:v>
                </c:pt>
                <c:pt idx="10">
                  <c:v>0.157254957462534</c:v>
                </c:pt>
                <c:pt idx="11">
                  <c:v>0.1642278826099095</c:v>
                </c:pt>
                <c:pt idx="12">
                  <c:v>0.16346012390277392</c:v>
                </c:pt>
              </c:numCache>
            </c:numRef>
          </c:val>
          <c:smooth val="0"/>
        </c:ser>
        <c:marker val="1"/>
        <c:axId val="39504561"/>
        <c:axId val="13366950"/>
      </c:lineChart>
      <c:dateAx>
        <c:axId val="39504561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200" b="0" i="1" u="none" baseline="0">
                <a:solidFill>
                  <a:srgbClr val="800000"/>
                </a:solidFill>
              </a:defRPr>
            </a:pPr>
          </a:p>
        </c:txPr>
        <c:crossAx val="13366950"/>
        <c:crossesAt val="0.089"/>
        <c:auto val="0"/>
        <c:noMultiLvlLbl val="0"/>
      </c:dateAx>
      <c:valAx>
        <c:axId val="13366950"/>
        <c:scaling>
          <c:orientation val="minMax"/>
          <c:max val="0.18"/>
          <c:min val="0.08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800000"/>
                    </a:solidFill>
                  </a:rPr>
                  <a:t>Cents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/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crossAx val="39504561"/>
        <c:crossesAt val="1"/>
        <c:crossBetween val="between"/>
        <c:dispUnits/>
        <c:majorUnit val="0.007"/>
        <c:minorUnit val="0.007"/>
      </c:valAx>
      <c:spPr>
        <a:solidFill>
          <a:srgbClr val="FFFFFF"/>
        </a:solidFill>
        <a:ln w="12700">
          <a:solidFill>
            <a:srgbClr val="993366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00" b="0" i="0" u="none" baseline="0">
          <a:solidFill>
            <a:srgbClr val="993366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'[1]Int reser chart'!$AB$2:$AN$2</c:f>
              <c:numCache>
                <c:ptCount val="13"/>
                <c:pt idx="0">
                  <c:v>38411</c:v>
                </c:pt>
                <c:pt idx="1">
                  <c:v>38442</c:v>
                </c:pt>
                <c:pt idx="2">
                  <c:v>38472</c:v>
                </c:pt>
                <c:pt idx="3">
                  <c:v>38503</c:v>
                </c:pt>
                <c:pt idx="4">
                  <c:v>38533</c:v>
                </c:pt>
                <c:pt idx="5">
                  <c:v>38564</c:v>
                </c:pt>
                <c:pt idx="6">
                  <c:v>38595</c:v>
                </c:pt>
                <c:pt idx="7">
                  <c:v>38625</c:v>
                </c:pt>
                <c:pt idx="8">
                  <c:v>38656</c:v>
                </c:pt>
                <c:pt idx="9">
                  <c:v>38686</c:v>
                </c:pt>
                <c:pt idx="10">
                  <c:v>38717</c:v>
                </c:pt>
                <c:pt idx="11">
                  <c:v>38748</c:v>
                </c:pt>
                <c:pt idx="12">
                  <c:v>38776</c:v>
                </c:pt>
              </c:numCache>
            </c:numRef>
          </c:cat>
          <c:val>
            <c:numRef>
              <c:f>'[1]Int reser chart'!$AB$3:$AN$3</c:f>
              <c:numCache>
                <c:ptCount val="13"/>
                <c:pt idx="0">
                  <c:v>2029.5066231399999</c:v>
                </c:pt>
                <c:pt idx="1">
                  <c:v>1912.7061455699998</c:v>
                </c:pt>
                <c:pt idx="2">
                  <c:v>2302.37940167</c:v>
                </c:pt>
                <c:pt idx="3">
                  <c:v>2107.05236838</c:v>
                </c:pt>
                <c:pt idx="4">
                  <c:v>1874.1086621700001</c:v>
                </c:pt>
                <c:pt idx="5">
                  <c:v>2354.6779455899996</c:v>
                </c:pt>
                <c:pt idx="6">
                  <c:v>2159.0558769699996</c:v>
                </c:pt>
                <c:pt idx="7">
                  <c:v>1818.2111408299995</c:v>
                </c:pt>
                <c:pt idx="8">
                  <c:v>2244.9941216</c:v>
                </c:pt>
                <c:pt idx="9">
                  <c:v>1902.2269241000001</c:v>
                </c:pt>
                <c:pt idx="10">
                  <c:v>1983.9336482200001</c:v>
                </c:pt>
                <c:pt idx="11">
                  <c:v>2705.4959120600006</c:v>
                </c:pt>
                <c:pt idx="12">
                  <c:v>2695.98428512</c:v>
                </c:pt>
              </c:numCache>
            </c:numRef>
          </c:val>
        </c:ser>
        <c:axId val="37359711"/>
        <c:axId val="33907628"/>
      </c:barChart>
      <c:dateAx>
        <c:axId val="37359711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txPr>
          <a:bodyPr vert="horz" rot="-4680000"/>
          <a:lstStyle/>
          <a:p>
            <a:pPr>
              <a:defRPr lang="en-US" cap="none" sz="1200" b="0" i="0" u="none" baseline="0">
                <a:solidFill>
                  <a:srgbClr val="800000"/>
                </a:solidFill>
              </a:defRPr>
            </a:pPr>
          </a:p>
        </c:txPr>
        <c:crossAx val="33907628"/>
        <c:crosses val="autoZero"/>
        <c:auto val="0"/>
        <c:noMultiLvlLbl val="0"/>
      </c:dateAx>
      <c:valAx>
        <c:axId val="339076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800000"/>
                    </a:solidFill>
                  </a:rPr>
                  <a:t> Million of Namibia 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solidFill>
                  <a:srgbClr val="800000"/>
                </a:solidFill>
              </a:defRPr>
            </a:pPr>
          </a:p>
        </c:txPr>
        <c:crossAx val="373597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2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2533650</xdr:colOff>
      <xdr:row>1</xdr:row>
      <xdr:rowOff>400050</xdr:rowOff>
    </xdr:from>
    <xdr:to>
      <xdr:col>0</xdr:col>
      <xdr:colOff>4657725</xdr:colOff>
      <xdr:row>6</xdr:row>
      <xdr:rowOff>38100</xdr:rowOff>
    </xdr:to>
    <xdr:grpSp>
      <xdr:nvGrpSpPr>
        <xdr:cNvPr id="1" name="Group 1"/>
        <xdr:cNvGrpSpPr>
          <a:grpSpLocks/>
        </xdr:cNvGrpSpPr>
      </xdr:nvGrpSpPr>
      <xdr:grpSpPr>
        <a:xfrm>
          <a:off x="2533650" y="552450"/>
          <a:ext cx="2124075" cy="1905000"/>
          <a:chOff x="5228" y="2767"/>
          <a:chExt cx="1435" cy="1350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28" y="2767"/>
            <a:ext cx="1435" cy="1350"/>
          </a:xfrm>
          <a:prstGeom prst="rect">
            <a:avLst/>
          </a:prstGeom>
          <a:noFill/>
          <a:ln w="12700" cmpd="sng">
            <a:noFill/>
          </a:ln>
        </xdr:spPr>
      </xdr:pic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485" y="2889"/>
            <a:ext cx="885" cy="1101"/>
          </a:xfrm>
          <a:prstGeom prst="rect">
            <a:avLst/>
          </a:prstGeom>
          <a:noFill/>
          <a:ln w="12700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4</xdr:row>
      <xdr:rowOff>85725</xdr:rowOff>
    </xdr:from>
    <xdr:to>
      <xdr:col>13</xdr:col>
      <xdr:colOff>352425</xdr:colOff>
      <xdr:row>23</xdr:row>
      <xdr:rowOff>95250</xdr:rowOff>
    </xdr:to>
    <xdr:graphicFrame>
      <xdr:nvGraphicFramePr>
        <xdr:cNvPr id="1" name="Chart 90"/>
        <xdr:cNvGraphicFramePr/>
      </xdr:nvGraphicFramePr>
      <xdr:xfrm>
        <a:off x="361950" y="800100"/>
        <a:ext cx="803910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26</xdr:row>
      <xdr:rowOff>38100</xdr:rowOff>
    </xdr:from>
    <xdr:to>
      <xdr:col>13</xdr:col>
      <xdr:colOff>371475</xdr:colOff>
      <xdr:row>45</xdr:row>
      <xdr:rowOff>171450</xdr:rowOff>
    </xdr:to>
    <xdr:graphicFrame>
      <xdr:nvGraphicFramePr>
        <xdr:cNvPr id="2" name="Chart 91"/>
        <xdr:cNvGraphicFramePr/>
      </xdr:nvGraphicFramePr>
      <xdr:xfrm>
        <a:off x="314325" y="4257675"/>
        <a:ext cx="81057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4</xdr:row>
      <xdr:rowOff>38100</xdr:rowOff>
    </xdr:from>
    <xdr:to>
      <xdr:col>15</xdr:col>
      <xdr:colOff>219075</xdr:colOff>
      <xdr:row>24</xdr:row>
      <xdr:rowOff>85725</xdr:rowOff>
    </xdr:to>
    <xdr:graphicFrame>
      <xdr:nvGraphicFramePr>
        <xdr:cNvPr id="1" name="Chart 98"/>
        <xdr:cNvGraphicFramePr/>
      </xdr:nvGraphicFramePr>
      <xdr:xfrm>
        <a:off x="295275" y="790575"/>
        <a:ext cx="845820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466725</xdr:colOff>
      <xdr:row>30</xdr:row>
      <xdr:rowOff>28575</xdr:rowOff>
    </xdr:from>
    <xdr:to>
      <xdr:col>15</xdr:col>
      <xdr:colOff>257175</xdr:colOff>
      <xdr:row>49</xdr:row>
      <xdr:rowOff>142875</xdr:rowOff>
    </xdr:to>
    <xdr:graphicFrame>
      <xdr:nvGraphicFramePr>
        <xdr:cNvPr id="2" name="Chart 99"/>
        <xdr:cNvGraphicFramePr/>
      </xdr:nvGraphicFramePr>
      <xdr:xfrm>
        <a:off x="466725" y="5762625"/>
        <a:ext cx="8324850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352425</xdr:colOff>
      <xdr:row>55</xdr:row>
      <xdr:rowOff>38100</xdr:rowOff>
    </xdr:from>
    <xdr:to>
      <xdr:col>15</xdr:col>
      <xdr:colOff>428625</xdr:colOff>
      <xdr:row>77</xdr:row>
      <xdr:rowOff>104775</xdr:rowOff>
    </xdr:to>
    <xdr:graphicFrame>
      <xdr:nvGraphicFramePr>
        <xdr:cNvPr id="3" name="Chart 101"/>
        <xdr:cNvGraphicFramePr/>
      </xdr:nvGraphicFramePr>
      <xdr:xfrm>
        <a:off x="352425" y="10544175"/>
        <a:ext cx="8610600" cy="4181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35</xdr:row>
      <xdr:rowOff>9525</xdr:rowOff>
    </xdr:from>
    <xdr:to>
      <xdr:col>15</xdr:col>
      <xdr:colOff>142875</xdr:colOff>
      <xdr:row>61</xdr:row>
      <xdr:rowOff>142875</xdr:rowOff>
    </xdr:to>
    <xdr:graphicFrame>
      <xdr:nvGraphicFramePr>
        <xdr:cNvPr id="1" name="Chart 9"/>
        <xdr:cNvGraphicFramePr/>
      </xdr:nvGraphicFramePr>
      <xdr:xfrm>
        <a:off x="400050" y="5753100"/>
        <a:ext cx="885825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4</xdr:row>
      <xdr:rowOff>142875</xdr:rowOff>
    </xdr:from>
    <xdr:to>
      <xdr:col>15</xdr:col>
      <xdr:colOff>123825</xdr:colOff>
      <xdr:row>30</xdr:row>
      <xdr:rowOff>66675</xdr:rowOff>
    </xdr:to>
    <xdr:graphicFrame>
      <xdr:nvGraphicFramePr>
        <xdr:cNvPr id="2" name="Chart 14"/>
        <xdr:cNvGraphicFramePr/>
      </xdr:nvGraphicFramePr>
      <xdr:xfrm>
        <a:off x="428625" y="828675"/>
        <a:ext cx="8810625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Monetary%20Data\New%20Framework%20(Roman)\Compilation%20Worksheet\Working%20Files\Output%20tables\Set%20of%20Tables-Link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Financial%20Data\Capital%20Market\NSX\Monthly%20Indices%20of%20NSX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Financial%20Data\Money%20Market\Monthly%20Rates\Selected%20Interest%20rat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Monetary%20Data\New%20Framework%20(Roman)\Compilation%20Worksheet\Working%20Files\Selected%20Monthly%20Statistics\infl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table ii.6"/>
      <sheetName val="M1 M2 Chart"/>
      <sheetName val="Int reser chart"/>
      <sheetName val=" PSC chart"/>
    </sheetNames>
    <sheetDataSet>
      <sheetData sheetId="7">
        <row r="6">
          <cell r="G6" t="str">
            <v>Bills '91 days</v>
          </cell>
          <cell r="H6" t="str">
            <v>BA Rate (1)</v>
          </cell>
          <cell r="I6" t="str">
            <v>Bonds (2)</v>
          </cell>
        </row>
        <row r="7">
          <cell r="E7" t="str">
            <v>Pr</v>
          </cell>
          <cell r="F7" t="str">
            <v>Br</v>
          </cell>
          <cell r="G7" t="str">
            <v>Tb</v>
          </cell>
          <cell r="H7" t="str">
            <v>BA </v>
          </cell>
          <cell r="I7" t="str">
            <v>GB</v>
          </cell>
        </row>
        <row r="8">
          <cell r="E8" t="str">
            <v>Prime rate</v>
          </cell>
          <cell r="F8" t="str">
            <v>Bank rate</v>
          </cell>
          <cell r="G8" t="str">
            <v>Treasury </v>
          </cell>
          <cell r="H8" t="str">
            <v>3-Months</v>
          </cell>
          <cell r="I8" t="str">
            <v>Government</v>
          </cell>
        </row>
        <row r="9">
          <cell r="D9" t="str">
            <v>Jan</v>
          </cell>
          <cell r="E9">
            <v>20</v>
          </cell>
          <cell r="F9">
            <v>20.5</v>
          </cell>
          <cell r="H9">
            <v>17.625</v>
          </cell>
          <cell r="I9">
            <v>16</v>
          </cell>
        </row>
        <row r="10">
          <cell r="D10" t="str">
            <v>Feb</v>
          </cell>
          <cell r="E10">
            <v>20</v>
          </cell>
          <cell r="F10">
            <v>20.5</v>
          </cell>
          <cell r="H10">
            <v>17.425</v>
          </cell>
          <cell r="I10">
            <v>15.58</v>
          </cell>
        </row>
        <row r="11">
          <cell r="D11" t="str">
            <v>Mar</v>
          </cell>
          <cell r="E11">
            <v>20</v>
          </cell>
          <cell r="F11">
            <v>19.5</v>
          </cell>
          <cell r="H11">
            <v>17.33</v>
          </cell>
          <cell r="I11">
            <v>15.64</v>
          </cell>
        </row>
        <row r="12">
          <cell r="D12" t="str">
            <v>Apr</v>
          </cell>
          <cell r="E12">
            <v>20</v>
          </cell>
          <cell r="F12">
            <v>19.5</v>
          </cell>
          <cell r="H12">
            <v>17.23</v>
          </cell>
          <cell r="I12">
            <v>15.83</v>
          </cell>
        </row>
        <row r="13">
          <cell r="D13" t="str">
            <v>May</v>
          </cell>
          <cell r="E13">
            <v>20</v>
          </cell>
          <cell r="F13">
            <v>19.5</v>
          </cell>
          <cell r="G13">
            <v>16.85</v>
          </cell>
          <cell r="H13">
            <v>16.95</v>
          </cell>
          <cell r="I13">
            <v>16.01</v>
          </cell>
        </row>
        <row r="14">
          <cell r="D14" t="str">
            <v>Jun</v>
          </cell>
          <cell r="E14">
            <v>20</v>
          </cell>
          <cell r="F14">
            <v>19.5</v>
          </cell>
          <cell r="G14">
            <v>16.75</v>
          </cell>
          <cell r="H14">
            <v>16.8125</v>
          </cell>
          <cell r="I14">
            <v>16.31</v>
          </cell>
        </row>
        <row r="15">
          <cell r="D15" t="str">
            <v>Jul</v>
          </cell>
          <cell r="E15">
            <v>20</v>
          </cell>
          <cell r="F15">
            <v>19.5</v>
          </cell>
          <cell r="G15">
            <v>16.72</v>
          </cell>
          <cell r="H15">
            <v>16.85</v>
          </cell>
          <cell r="I15">
            <v>16.43</v>
          </cell>
        </row>
        <row r="16">
          <cell r="D16" t="str">
            <v>Aug</v>
          </cell>
          <cell r="E16">
            <v>20</v>
          </cell>
          <cell r="F16">
            <v>19.5</v>
          </cell>
          <cell r="G16">
            <v>16.67</v>
          </cell>
          <cell r="H16">
            <v>16.78</v>
          </cell>
          <cell r="I16">
            <v>16.79</v>
          </cell>
        </row>
        <row r="17">
          <cell r="D17" t="str">
            <v>Sep</v>
          </cell>
          <cell r="E17">
            <v>20</v>
          </cell>
          <cell r="F17">
            <v>19.5</v>
          </cell>
          <cell r="G17">
            <v>16.61</v>
          </cell>
          <cell r="H17">
            <v>16.7375</v>
          </cell>
          <cell r="I17">
            <v>16.84</v>
          </cell>
        </row>
        <row r="18">
          <cell r="D18" t="str">
            <v>Oct</v>
          </cell>
          <cell r="E18">
            <v>20</v>
          </cell>
          <cell r="F18">
            <v>19.5</v>
          </cell>
          <cell r="G18">
            <v>16.55</v>
          </cell>
          <cell r="H18">
            <v>16.6875</v>
          </cell>
          <cell r="I18">
            <v>17.21</v>
          </cell>
        </row>
        <row r="19">
          <cell r="D19" t="str">
            <v>Nov</v>
          </cell>
          <cell r="E19">
            <v>20</v>
          </cell>
          <cell r="F19">
            <v>19.5</v>
          </cell>
          <cell r="G19">
            <v>16.48</v>
          </cell>
          <cell r="H19">
            <v>16.4</v>
          </cell>
          <cell r="I19">
            <v>16.83</v>
          </cell>
        </row>
        <row r="20">
          <cell r="D20" t="str">
            <v>Dec</v>
          </cell>
          <cell r="E20">
            <v>20</v>
          </cell>
          <cell r="F20">
            <v>19.5</v>
          </cell>
          <cell r="G20">
            <v>16.36</v>
          </cell>
          <cell r="H20">
            <v>16.13</v>
          </cell>
          <cell r="I20">
            <v>16.66</v>
          </cell>
        </row>
        <row r="21">
          <cell r="D21" t="str">
            <v>Jan</v>
          </cell>
          <cell r="E21">
            <v>20</v>
          </cell>
          <cell r="F21">
            <v>19.5</v>
          </cell>
          <cell r="G21">
            <v>16.18</v>
          </cell>
          <cell r="H21">
            <v>16.23</v>
          </cell>
          <cell r="I21">
            <v>16.65</v>
          </cell>
        </row>
        <row r="22">
          <cell r="D22" t="str">
            <v>Feb</v>
          </cell>
          <cell r="E22">
            <v>20</v>
          </cell>
          <cell r="F22">
            <v>19.5</v>
          </cell>
          <cell r="G22">
            <v>16.08</v>
          </cell>
          <cell r="H22">
            <v>15.9875</v>
          </cell>
          <cell r="I22">
            <v>16.86</v>
          </cell>
        </row>
        <row r="23">
          <cell r="D23" t="str">
            <v>Mar</v>
          </cell>
          <cell r="E23">
            <v>19</v>
          </cell>
          <cell r="F23">
            <v>18.5</v>
          </cell>
          <cell r="G23">
            <v>15.55</v>
          </cell>
          <cell r="H23">
            <v>15.75</v>
          </cell>
          <cell r="I23">
            <v>16.41</v>
          </cell>
        </row>
        <row r="24">
          <cell r="D24" t="str">
            <v>Apr</v>
          </cell>
          <cell r="E24">
            <v>19</v>
          </cell>
          <cell r="F24">
            <v>18.5</v>
          </cell>
          <cell r="G24">
            <v>15.28</v>
          </cell>
          <cell r="H24">
            <v>15.33</v>
          </cell>
          <cell r="I24">
            <v>16.26</v>
          </cell>
        </row>
        <row r="25">
          <cell r="D25" t="str">
            <v>May</v>
          </cell>
          <cell r="E25">
            <v>19</v>
          </cell>
          <cell r="F25">
            <v>18.5</v>
          </cell>
          <cell r="G25">
            <v>14.42</v>
          </cell>
          <cell r="H25">
            <v>14.78</v>
          </cell>
          <cell r="I25">
            <v>15.97</v>
          </cell>
        </row>
        <row r="26">
          <cell r="D26" t="str">
            <v>Jun</v>
          </cell>
          <cell r="E26">
            <v>19</v>
          </cell>
          <cell r="F26">
            <v>17.5</v>
          </cell>
          <cell r="G26">
            <v>13.96</v>
          </cell>
          <cell r="H26">
            <v>14.37</v>
          </cell>
          <cell r="I26">
            <v>15.98</v>
          </cell>
        </row>
        <row r="27">
          <cell r="D27" t="str">
            <v>Jul</v>
          </cell>
          <cell r="E27">
            <v>19</v>
          </cell>
          <cell r="F27">
            <v>17.5</v>
          </cell>
          <cell r="G27">
            <v>13.44</v>
          </cell>
          <cell r="H27">
            <v>13.55</v>
          </cell>
          <cell r="I27">
            <v>15.29</v>
          </cell>
        </row>
        <row r="28">
          <cell r="D28" t="str">
            <v>Aug</v>
          </cell>
          <cell r="E28">
            <v>18.5</v>
          </cell>
          <cell r="F28">
            <v>17.5</v>
          </cell>
          <cell r="G28">
            <v>12.29</v>
          </cell>
          <cell r="H28">
            <v>12.5</v>
          </cell>
          <cell r="I28">
            <v>14.38</v>
          </cell>
        </row>
        <row r="29">
          <cell r="D29" t="str">
            <v>Sep</v>
          </cell>
          <cell r="E29">
            <v>18.5</v>
          </cell>
          <cell r="F29">
            <v>17.5</v>
          </cell>
          <cell r="G29">
            <v>12.26</v>
          </cell>
          <cell r="H29">
            <v>12.5</v>
          </cell>
          <cell r="I29">
            <v>14.2</v>
          </cell>
        </row>
        <row r="30">
          <cell r="D30" t="str">
            <v>Oct</v>
          </cell>
          <cell r="E30">
            <v>18.5</v>
          </cell>
          <cell r="F30">
            <v>17.5</v>
          </cell>
          <cell r="G30">
            <v>12.21</v>
          </cell>
          <cell r="H30">
            <v>12.4</v>
          </cell>
          <cell r="I30">
            <v>13.86</v>
          </cell>
        </row>
        <row r="31">
          <cell r="D31" t="str">
            <v>Nov</v>
          </cell>
          <cell r="E31">
            <v>18.5</v>
          </cell>
          <cell r="F31">
            <v>16.5</v>
          </cell>
          <cell r="G31">
            <v>12.41</v>
          </cell>
          <cell r="H31">
            <v>12</v>
          </cell>
          <cell r="I31">
            <v>14.54</v>
          </cell>
        </row>
        <row r="32">
          <cell r="D32" t="str">
            <v>Dec</v>
          </cell>
          <cell r="E32">
            <v>17.5</v>
          </cell>
          <cell r="F32">
            <v>16.5</v>
          </cell>
          <cell r="G32">
            <v>12.46</v>
          </cell>
          <cell r="H32">
            <v>12.4</v>
          </cell>
          <cell r="I32">
            <v>14.9</v>
          </cell>
        </row>
        <row r="33">
          <cell r="D33" t="str">
            <v>Jan</v>
          </cell>
          <cell r="E33">
            <v>17.5</v>
          </cell>
          <cell r="F33">
            <v>16.5</v>
          </cell>
          <cell r="G33">
            <v>12.46</v>
          </cell>
          <cell r="H33">
            <v>12.26</v>
          </cell>
          <cell r="I33">
            <v>14.65</v>
          </cell>
        </row>
        <row r="34">
          <cell r="D34" t="str">
            <v>Feb</v>
          </cell>
          <cell r="E34">
            <v>17.5</v>
          </cell>
          <cell r="F34">
            <v>15.5</v>
          </cell>
          <cell r="G34">
            <v>11.89</v>
          </cell>
          <cell r="H34">
            <v>11.73</v>
          </cell>
          <cell r="I34">
            <v>14.36</v>
          </cell>
        </row>
        <row r="35">
          <cell r="D35" t="str">
            <v>Mar</v>
          </cell>
          <cell r="E35">
            <v>16.5</v>
          </cell>
          <cell r="F35">
            <v>15.5</v>
          </cell>
          <cell r="G35">
            <v>11.94</v>
          </cell>
          <cell r="H35">
            <v>11.86</v>
          </cell>
          <cell r="I35">
            <v>14.49</v>
          </cell>
        </row>
        <row r="36">
          <cell r="D36" t="str">
            <v>Apr</v>
          </cell>
          <cell r="E36">
            <v>16.5</v>
          </cell>
          <cell r="F36">
            <v>15.5</v>
          </cell>
          <cell r="G36">
            <v>12.58</v>
          </cell>
          <cell r="H36">
            <v>12.13</v>
          </cell>
          <cell r="I36">
            <v>15.03</v>
          </cell>
        </row>
        <row r="37">
          <cell r="D37" t="str">
            <v>May</v>
          </cell>
          <cell r="E37">
            <v>16.5</v>
          </cell>
          <cell r="F37">
            <v>15.5</v>
          </cell>
          <cell r="G37">
            <v>12.49</v>
          </cell>
          <cell r="H37">
            <v>12.09</v>
          </cell>
          <cell r="I37">
            <v>14.92</v>
          </cell>
        </row>
        <row r="38">
          <cell r="D38" t="str">
            <v>Jun</v>
          </cell>
          <cell r="E38">
            <v>16.5</v>
          </cell>
          <cell r="F38">
            <v>15.5</v>
          </cell>
          <cell r="G38">
            <v>12.53</v>
          </cell>
          <cell r="H38">
            <v>12.06</v>
          </cell>
          <cell r="I38">
            <v>14.7</v>
          </cell>
        </row>
        <row r="39">
          <cell r="D39" t="str">
            <v>Jul</v>
          </cell>
          <cell r="E39">
            <v>16.5</v>
          </cell>
          <cell r="F39">
            <v>15.5</v>
          </cell>
          <cell r="G39">
            <v>12.16</v>
          </cell>
          <cell r="H39">
            <v>11.91</v>
          </cell>
          <cell r="I39">
            <v>14.24</v>
          </cell>
        </row>
        <row r="40">
          <cell r="D40" t="str">
            <v>Aug</v>
          </cell>
          <cell r="E40">
            <v>16.5</v>
          </cell>
          <cell r="F40">
            <v>15.5</v>
          </cell>
          <cell r="G40">
            <v>12.4</v>
          </cell>
          <cell r="H40">
            <v>11.77</v>
          </cell>
          <cell r="I40">
            <v>13.85</v>
          </cell>
        </row>
        <row r="41">
          <cell r="D41" t="str">
            <v>Sep</v>
          </cell>
          <cell r="E41">
            <v>16.5</v>
          </cell>
          <cell r="F41">
            <v>15.5</v>
          </cell>
          <cell r="G41">
            <v>12.49</v>
          </cell>
          <cell r="H41">
            <v>11.74</v>
          </cell>
          <cell r="I41">
            <v>13.29</v>
          </cell>
        </row>
        <row r="42">
          <cell r="D42" t="str">
            <v>Oct</v>
          </cell>
          <cell r="E42">
            <v>16.5</v>
          </cell>
          <cell r="F42">
            <v>15.5</v>
          </cell>
          <cell r="G42">
            <v>12.18</v>
          </cell>
          <cell r="H42">
            <v>11.31</v>
          </cell>
          <cell r="I42">
            <v>13.07</v>
          </cell>
        </row>
        <row r="43">
          <cell r="D43" t="str">
            <v>Nov</v>
          </cell>
          <cell r="E43">
            <v>15.5</v>
          </cell>
          <cell r="F43">
            <v>14.5</v>
          </cell>
          <cell r="G43">
            <v>11.53</v>
          </cell>
          <cell r="H43">
            <v>10.22</v>
          </cell>
          <cell r="I43">
            <v>12.51</v>
          </cell>
        </row>
        <row r="44">
          <cell r="D44" t="str">
            <v>Dec</v>
          </cell>
          <cell r="E44">
            <v>15.5</v>
          </cell>
          <cell r="F44">
            <v>14.5</v>
          </cell>
          <cell r="G44">
            <v>11.26</v>
          </cell>
          <cell r="H44">
            <v>10.15</v>
          </cell>
          <cell r="I44">
            <v>12.2</v>
          </cell>
        </row>
        <row r="45">
          <cell r="D45" t="str">
            <v>Jan</v>
          </cell>
          <cell r="E45">
            <v>15.5</v>
          </cell>
          <cell r="F45">
            <v>14.5</v>
          </cell>
          <cell r="G45">
            <v>11.19</v>
          </cell>
          <cell r="H45">
            <v>11.12</v>
          </cell>
          <cell r="I45">
            <v>12.07</v>
          </cell>
        </row>
        <row r="46">
          <cell r="D46" t="str">
            <v>Feb</v>
          </cell>
          <cell r="E46">
            <v>15.5</v>
          </cell>
          <cell r="F46">
            <v>14.5</v>
          </cell>
          <cell r="G46">
            <v>11.18</v>
          </cell>
          <cell r="H46">
            <v>11.15</v>
          </cell>
          <cell r="I46">
            <v>12.56</v>
          </cell>
        </row>
        <row r="47">
          <cell r="D47" t="str">
            <v>Mar</v>
          </cell>
          <cell r="E47">
            <v>15.5</v>
          </cell>
          <cell r="F47">
            <v>14.5</v>
          </cell>
          <cell r="G47">
            <v>10.97</v>
          </cell>
          <cell r="H47">
            <v>11.15</v>
          </cell>
          <cell r="I47">
            <v>12.73</v>
          </cell>
        </row>
        <row r="48">
          <cell r="D48" t="str">
            <v>Apr</v>
          </cell>
          <cell r="E48">
            <v>15.5</v>
          </cell>
          <cell r="F48">
            <v>14.5</v>
          </cell>
          <cell r="G48">
            <v>10.9</v>
          </cell>
          <cell r="H48">
            <v>10.3</v>
          </cell>
          <cell r="I48">
            <v>12.97</v>
          </cell>
        </row>
        <row r="49">
          <cell r="D49" t="str">
            <v>May</v>
          </cell>
          <cell r="E49">
            <v>15.5</v>
          </cell>
          <cell r="F49">
            <v>14.5</v>
          </cell>
          <cell r="G49">
            <v>10.97</v>
          </cell>
          <cell r="H49">
            <v>11.29</v>
          </cell>
          <cell r="I49">
            <v>13.02</v>
          </cell>
        </row>
        <row r="50">
          <cell r="D50" t="str">
            <v>Jun</v>
          </cell>
          <cell r="E50">
            <v>15.5</v>
          </cell>
          <cell r="F50">
            <v>14.5</v>
          </cell>
          <cell r="G50">
            <v>10.95</v>
          </cell>
          <cell r="H50">
            <v>11.72</v>
          </cell>
          <cell r="I50">
            <v>14.11</v>
          </cell>
        </row>
        <row r="51">
          <cell r="D51" t="str">
            <v>Jul</v>
          </cell>
          <cell r="E51">
            <v>15.5</v>
          </cell>
          <cell r="F51">
            <v>14.5</v>
          </cell>
          <cell r="G51">
            <v>10.95</v>
          </cell>
          <cell r="H51">
            <v>12.52</v>
          </cell>
          <cell r="I51">
            <v>14.83</v>
          </cell>
        </row>
        <row r="52">
          <cell r="D52" t="str">
            <v>Aug</v>
          </cell>
          <cell r="E52">
            <v>15.5</v>
          </cell>
          <cell r="F52">
            <v>14.5</v>
          </cell>
          <cell r="G52">
            <v>10.95</v>
          </cell>
          <cell r="H52">
            <v>11.6</v>
          </cell>
          <cell r="I52">
            <v>15.62</v>
          </cell>
        </row>
        <row r="53">
          <cell r="D53" t="str">
            <v>Sep</v>
          </cell>
          <cell r="E53">
            <v>15.5</v>
          </cell>
          <cell r="F53">
            <v>15.5</v>
          </cell>
          <cell r="G53">
            <v>10.99</v>
          </cell>
          <cell r="H53">
            <v>12.07</v>
          </cell>
          <cell r="I53">
            <v>16.59</v>
          </cell>
        </row>
        <row r="54">
          <cell r="D54" t="str">
            <v>Oct</v>
          </cell>
          <cell r="E54">
            <v>16.5</v>
          </cell>
          <cell r="F54">
            <v>15.5</v>
          </cell>
          <cell r="G54">
            <v>11.97</v>
          </cell>
          <cell r="H54">
            <v>11.96</v>
          </cell>
          <cell r="I54">
            <v>16.91</v>
          </cell>
        </row>
        <row r="55">
          <cell r="D55" t="str">
            <v>Nov</v>
          </cell>
          <cell r="E55">
            <v>16.5</v>
          </cell>
          <cell r="F55">
            <v>15.5</v>
          </cell>
          <cell r="G55">
            <v>12.32</v>
          </cell>
          <cell r="H55">
            <v>12.27</v>
          </cell>
          <cell r="I55">
            <v>16.94</v>
          </cell>
        </row>
        <row r="56">
          <cell r="D56" t="str">
            <v>Dec</v>
          </cell>
          <cell r="E56">
            <v>16.5</v>
          </cell>
          <cell r="F56">
            <v>15.5</v>
          </cell>
          <cell r="G56">
            <v>12.435</v>
          </cell>
          <cell r="H56">
            <v>12.43</v>
          </cell>
          <cell r="I56">
            <v>16.8</v>
          </cell>
        </row>
        <row r="57">
          <cell r="D57" t="str">
            <v>Jan</v>
          </cell>
          <cell r="E57">
            <v>16.5</v>
          </cell>
          <cell r="F57">
            <v>15.5</v>
          </cell>
          <cell r="G57">
            <v>12.864</v>
          </cell>
          <cell r="H57">
            <v>13.635</v>
          </cell>
          <cell r="I57">
            <v>17.02</v>
          </cell>
        </row>
        <row r="58">
          <cell r="D58" t="str">
            <v>Feb</v>
          </cell>
          <cell r="E58">
            <v>16.5</v>
          </cell>
          <cell r="F58">
            <v>16.5</v>
          </cell>
          <cell r="G58">
            <v>13.424</v>
          </cell>
          <cell r="H58">
            <v>13.055</v>
          </cell>
          <cell r="I58">
            <v>16.82</v>
          </cell>
        </row>
        <row r="59">
          <cell r="D59" t="str">
            <v>Mar</v>
          </cell>
          <cell r="E59">
            <v>18</v>
          </cell>
          <cell r="F59">
            <v>16.5</v>
          </cell>
          <cell r="G59">
            <v>13.71</v>
          </cell>
          <cell r="H59">
            <v>13.33</v>
          </cell>
          <cell r="I59">
            <v>16.72</v>
          </cell>
        </row>
        <row r="60">
          <cell r="D60" t="str">
            <v>Apr</v>
          </cell>
          <cell r="E60">
            <v>18</v>
          </cell>
          <cell r="F60">
            <v>16.5</v>
          </cell>
          <cell r="G60">
            <v>13.71</v>
          </cell>
          <cell r="H60">
            <v>13.645</v>
          </cell>
          <cell r="I60">
            <v>16.82</v>
          </cell>
        </row>
        <row r="61">
          <cell r="D61" t="str">
            <v>May</v>
          </cell>
          <cell r="E61">
            <v>18</v>
          </cell>
          <cell r="F61">
            <v>16.5</v>
          </cell>
          <cell r="G61">
            <v>14.188</v>
          </cell>
          <cell r="H61">
            <v>14.135</v>
          </cell>
          <cell r="I61">
            <v>16.95</v>
          </cell>
        </row>
        <row r="62">
          <cell r="D62" t="str">
            <v>Jun</v>
          </cell>
          <cell r="E62">
            <v>18</v>
          </cell>
          <cell r="F62">
            <v>16.5</v>
          </cell>
          <cell r="G62">
            <v>14.192</v>
          </cell>
          <cell r="H62">
            <v>14.48</v>
          </cell>
          <cell r="I62">
            <v>16.78</v>
          </cell>
        </row>
        <row r="63">
          <cell r="D63" t="str">
            <v>Jul</v>
          </cell>
          <cell r="E63">
            <v>19</v>
          </cell>
          <cell r="F63">
            <v>17.5</v>
          </cell>
          <cell r="G63">
            <v>14.192</v>
          </cell>
          <cell r="H63">
            <v>14.82</v>
          </cell>
          <cell r="I63">
            <v>16.62</v>
          </cell>
        </row>
        <row r="64">
          <cell r="D64" t="str">
            <v>Aug</v>
          </cell>
          <cell r="E64">
            <v>19</v>
          </cell>
          <cell r="F64">
            <v>17.5</v>
          </cell>
          <cell r="G64">
            <v>14.201</v>
          </cell>
          <cell r="H64">
            <v>14.78</v>
          </cell>
          <cell r="I64">
            <v>15.96</v>
          </cell>
        </row>
        <row r="65">
          <cell r="D65" t="str">
            <v>Sep</v>
          </cell>
          <cell r="E65">
            <v>19</v>
          </cell>
          <cell r="F65">
            <v>17.5</v>
          </cell>
          <cell r="G65">
            <v>14.201</v>
          </cell>
          <cell r="H65">
            <v>15.155</v>
          </cell>
          <cell r="I65">
            <v>15.49</v>
          </cell>
        </row>
        <row r="66">
          <cell r="D66" t="str">
            <v>Oct</v>
          </cell>
          <cell r="E66">
            <v>19</v>
          </cell>
          <cell r="F66">
            <v>17.5</v>
          </cell>
          <cell r="G66">
            <v>14.103</v>
          </cell>
          <cell r="H66">
            <v>15.105</v>
          </cell>
          <cell r="I66">
            <v>15.15</v>
          </cell>
        </row>
        <row r="67">
          <cell r="D67" t="str">
            <v>Nov</v>
          </cell>
          <cell r="E67">
            <v>19</v>
          </cell>
          <cell r="F67">
            <v>17.5</v>
          </cell>
          <cell r="G67">
            <v>14.099</v>
          </cell>
          <cell r="H67">
            <v>14.945</v>
          </cell>
          <cell r="I67">
            <v>14.39</v>
          </cell>
        </row>
        <row r="68">
          <cell r="D68" t="str">
            <v>Dec</v>
          </cell>
          <cell r="E68">
            <v>19</v>
          </cell>
          <cell r="F68">
            <v>17.5</v>
          </cell>
          <cell r="G68">
            <v>14.099</v>
          </cell>
          <cell r="H68">
            <v>15.11</v>
          </cell>
          <cell r="I68">
            <v>14.56</v>
          </cell>
        </row>
        <row r="69">
          <cell r="D69" t="str">
            <v>Jan</v>
          </cell>
          <cell r="E69">
            <v>19</v>
          </cell>
          <cell r="F69">
            <v>17.5</v>
          </cell>
          <cell r="G69">
            <v>14.005</v>
          </cell>
          <cell r="H69">
            <v>15.29</v>
          </cell>
          <cell r="I69">
            <v>13.77</v>
          </cell>
        </row>
        <row r="70">
          <cell r="D70" t="str">
            <v>Feb</v>
          </cell>
          <cell r="E70">
            <v>19</v>
          </cell>
          <cell r="F70">
            <v>17.5</v>
          </cell>
          <cell r="G70">
            <v>13.981</v>
          </cell>
          <cell r="H70">
            <v>15.34</v>
          </cell>
          <cell r="I70">
            <v>14.1</v>
          </cell>
        </row>
      </sheetData>
      <sheetData sheetId="8">
        <row r="3">
          <cell r="B3" t="str">
            <v>M2</v>
          </cell>
        </row>
        <row r="4">
          <cell r="B4" t="str">
            <v>M1</v>
          </cell>
        </row>
        <row r="7">
          <cell r="AA7">
            <v>38411</v>
          </cell>
          <cell r="AB7">
            <v>38442</v>
          </cell>
          <cell r="AC7">
            <v>38472</v>
          </cell>
          <cell r="AD7">
            <v>38503</v>
          </cell>
          <cell r="AE7">
            <v>38533</v>
          </cell>
          <cell r="AF7">
            <v>38564</v>
          </cell>
          <cell r="AG7">
            <v>38595</v>
          </cell>
          <cell r="AH7">
            <v>38625</v>
          </cell>
          <cell r="AI7">
            <v>38656</v>
          </cell>
          <cell r="AJ7">
            <v>38686</v>
          </cell>
          <cell r="AK7">
            <v>38717</v>
          </cell>
          <cell r="AL7">
            <v>38748</v>
          </cell>
          <cell r="AM7">
            <v>38776</v>
          </cell>
        </row>
        <row r="8">
          <cell r="AA8">
            <v>4.172835195285553</v>
          </cell>
          <cell r="AB8">
            <v>0.9473950084909514</v>
          </cell>
          <cell r="AC8">
            <v>3.1022448170477457</v>
          </cell>
          <cell r="AD8">
            <v>-0.4527104250240302</v>
          </cell>
          <cell r="AE8">
            <v>1.5844991643956683</v>
          </cell>
          <cell r="AF8">
            <v>2.2291129691554685</v>
          </cell>
          <cell r="AG8">
            <v>-0.8783362075959111</v>
          </cell>
          <cell r="AH8">
            <v>-2.0311193007765493</v>
          </cell>
          <cell r="AI8">
            <v>1.5030860262498926</v>
          </cell>
          <cell r="AJ8">
            <v>0.840754395626258</v>
          </cell>
          <cell r="AK8">
            <v>-0.5574313393873055</v>
          </cell>
          <cell r="AL8">
            <v>2.4536389181423</v>
          </cell>
          <cell r="AM8">
            <v>2.3924522733649876</v>
          </cell>
        </row>
        <row r="9">
          <cell r="AA9">
            <v>1.3333169771908566</v>
          </cell>
          <cell r="AB9">
            <v>3.4860399807870035</v>
          </cell>
          <cell r="AC9">
            <v>3.782261416190501</v>
          </cell>
          <cell r="AD9">
            <v>3.5425829646087545</v>
          </cell>
          <cell r="AE9">
            <v>-0.4592355175888246</v>
          </cell>
          <cell r="AF9">
            <v>3.653446844548424</v>
          </cell>
          <cell r="AG9">
            <v>-0.7367944562569547</v>
          </cell>
          <cell r="AH9">
            <v>-3.3139186881736546</v>
          </cell>
          <cell r="AI9">
            <v>0.6002163455232973</v>
          </cell>
          <cell r="AJ9">
            <v>-1.4810470967401466</v>
          </cell>
          <cell r="AK9">
            <v>-1.869648927557499</v>
          </cell>
          <cell r="AL9">
            <v>4.799168176888532</v>
          </cell>
          <cell r="AM9">
            <v>5.032394379553214</v>
          </cell>
        </row>
      </sheetData>
      <sheetData sheetId="9">
        <row r="2">
          <cell r="AB2">
            <v>38411</v>
          </cell>
          <cell r="AC2">
            <v>38442</v>
          </cell>
          <cell r="AD2">
            <v>38472</v>
          </cell>
          <cell r="AE2">
            <v>38503</v>
          </cell>
          <cell r="AF2">
            <v>38533</v>
          </cell>
          <cell r="AG2">
            <v>38564</v>
          </cell>
          <cell r="AH2">
            <v>38595</v>
          </cell>
          <cell r="AI2">
            <v>38625</v>
          </cell>
          <cell r="AJ2">
            <v>38656</v>
          </cell>
          <cell r="AK2">
            <v>38686</v>
          </cell>
          <cell r="AL2">
            <v>38717</v>
          </cell>
          <cell r="AM2">
            <v>38748</v>
          </cell>
          <cell r="AN2">
            <v>38776</v>
          </cell>
        </row>
        <row r="3">
          <cell r="AB3">
            <v>2029.5066231399999</v>
          </cell>
          <cell r="AC3">
            <v>1912.7061455699998</v>
          </cell>
          <cell r="AD3">
            <v>2302.37940167</v>
          </cell>
          <cell r="AE3">
            <v>2107.05236838</v>
          </cell>
          <cell r="AF3">
            <v>1874.1086621700001</v>
          </cell>
          <cell r="AG3">
            <v>2354.6779455899996</v>
          </cell>
          <cell r="AH3">
            <v>2159.0558769699996</v>
          </cell>
          <cell r="AI3">
            <v>1818.2111408299995</v>
          </cell>
          <cell r="AJ3">
            <v>2244.9941216</v>
          </cell>
          <cell r="AK3">
            <v>1902.2269241000001</v>
          </cell>
          <cell r="AL3">
            <v>1983.9336482200001</v>
          </cell>
          <cell r="AM3">
            <v>2705.4959120600006</v>
          </cell>
          <cell r="AN3">
            <v>2695.98428512</v>
          </cell>
        </row>
      </sheetData>
      <sheetData sheetId="10">
        <row r="10">
          <cell r="Z10">
            <v>38411</v>
          </cell>
          <cell r="AA10">
            <v>38442</v>
          </cell>
          <cell r="AB10">
            <v>38472</v>
          </cell>
          <cell r="AC10">
            <v>38503</v>
          </cell>
          <cell r="AD10">
            <v>38533</v>
          </cell>
          <cell r="AE10">
            <v>38564</v>
          </cell>
          <cell r="AF10">
            <v>38595</v>
          </cell>
          <cell r="AG10">
            <v>38625</v>
          </cell>
          <cell r="AH10">
            <v>38656</v>
          </cell>
          <cell r="AI10">
            <v>38686</v>
          </cell>
          <cell r="AJ10">
            <v>38717</v>
          </cell>
          <cell r="AK10">
            <v>38748</v>
          </cell>
          <cell r="AL10">
            <v>38776</v>
          </cell>
        </row>
        <row r="11">
          <cell r="B11" t="str">
            <v>Dom claims</v>
          </cell>
          <cell r="Z11">
            <v>2.579281924968504</v>
          </cell>
          <cell r="AA11">
            <v>3.6589383574082444</v>
          </cell>
          <cell r="AB11">
            <v>1.1226836722368163</v>
          </cell>
          <cell r="AC11">
            <v>3.3588550766543</v>
          </cell>
          <cell r="AD11">
            <v>2.0751914983666966</v>
          </cell>
          <cell r="AE11">
            <v>-0.45158553090269665</v>
          </cell>
          <cell r="AF11">
            <v>2.5666813635568806</v>
          </cell>
          <cell r="AG11">
            <v>1.7503961138056554</v>
          </cell>
          <cell r="AH11">
            <v>-0.9844430010772701</v>
          </cell>
          <cell r="AI11">
            <v>2.87051915691682</v>
          </cell>
          <cell r="AJ11">
            <v>3.1850287501738674</v>
          </cell>
          <cell r="AK11">
            <v>-1.9992946206865863</v>
          </cell>
          <cell r="AL11">
            <v>2.6492085049404532</v>
          </cell>
        </row>
        <row r="12">
          <cell r="B12" t="str">
            <v>Other Sectors Claims</v>
          </cell>
          <cell r="Z12">
            <v>0.23442557008624926</v>
          </cell>
          <cell r="AA12">
            <v>2.3923169874069745</v>
          </cell>
          <cell r="AB12">
            <v>1.9765002042752875</v>
          </cell>
          <cell r="AC12">
            <v>1.9641104297318202</v>
          </cell>
          <cell r="AD12">
            <v>0.22176876452806404</v>
          </cell>
          <cell r="AE12">
            <v>2.0671738927704517</v>
          </cell>
          <cell r="AF12">
            <v>1.249947427449018</v>
          </cell>
          <cell r="AG12">
            <v>1.1938160015464723</v>
          </cell>
          <cell r="AH12">
            <v>0.9940454605630606</v>
          </cell>
          <cell r="AI12">
            <v>1.9456453252726835</v>
          </cell>
          <cell r="AJ12">
            <v>1.9982868631922939</v>
          </cell>
          <cell r="AK12">
            <v>0.28546783446663965</v>
          </cell>
          <cell r="AL12">
            <v>2.8873975497460442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nthly indices"/>
    </sheetNames>
    <sheetDataSet>
      <sheetData sheetId="0">
        <row r="2">
          <cell r="D2" t="str">
            <v>NSX Local index (RHS)</v>
          </cell>
        </row>
        <row r="112">
          <cell r="B112">
            <v>38384</v>
          </cell>
          <cell r="C112">
            <v>446.2</v>
          </cell>
          <cell r="D112">
            <v>65.92</v>
          </cell>
        </row>
        <row r="113">
          <cell r="B113">
            <v>38412</v>
          </cell>
          <cell r="C113">
            <v>438.66</v>
          </cell>
          <cell r="D113">
            <v>65.11</v>
          </cell>
        </row>
        <row r="114">
          <cell r="B114">
            <v>38443</v>
          </cell>
          <cell r="C114">
            <v>410.11</v>
          </cell>
          <cell r="D114">
            <v>64.83</v>
          </cell>
        </row>
        <row r="115">
          <cell r="B115">
            <v>38473</v>
          </cell>
          <cell r="C115">
            <v>410.11</v>
          </cell>
          <cell r="D115">
            <v>64.83</v>
          </cell>
        </row>
        <row r="116">
          <cell r="B116">
            <v>38504</v>
          </cell>
          <cell r="C116">
            <v>450.45</v>
          </cell>
          <cell r="D116">
            <v>67.42</v>
          </cell>
        </row>
        <row r="117">
          <cell r="B117">
            <v>38534</v>
          </cell>
          <cell r="C117">
            <v>484.19</v>
          </cell>
          <cell r="D117">
            <v>66.66</v>
          </cell>
        </row>
        <row r="118">
          <cell r="B118">
            <v>38565</v>
          </cell>
          <cell r="C118">
            <v>482.53</v>
          </cell>
          <cell r="D118">
            <v>66.3</v>
          </cell>
        </row>
        <row r="119">
          <cell r="B119">
            <v>38596</v>
          </cell>
          <cell r="C119">
            <v>523.72</v>
          </cell>
          <cell r="D119">
            <v>65.64</v>
          </cell>
        </row>
        <row r="120">
          <cell r="B120">
            <v>38626</v>
          </cell>
          <cell r="C120">
            <v>520.07</v>
          </cell>
          <cell r="D120">
            <v>65.04</v>
          </cell>
        </row>
        <row r="121">
          <cell r="B121">
            <v>38657</v>
          </cell>
          <cell r="C121">
            <v>536.25</v>
          </cell>
          <cell r="D121">
            <v>69.98</v>
          </cell>
        </row>
        <row r="122">
          <cell r="B122">
            <v>38687</v>
          </cell>
          <cell r="C122">
            <v>581.68</v>
          </cell>
          <cell r="D122">
            <v>71.74</v>
          </cell>
        </row>
        <row r="123">
          <cell r="B123">
            <v>38718</v>
          </cell>
          <cell r="C123">
            <v>633</v>
          </cell>
          <cell r="D123">
            <v>74</v>
          </cell>
        </row>
        <row r="124">
          <cell r="B124">
            <v>38749</v>
          </cell>
          <cell r="C124">
            <v>621.84</v>
          </cell>
          <cell r="D124">
            <v>77.02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Charts"/>
    </sheetNames>
    <sheetDataSet>
      <sheetData sheetId="0">
        <row r="5">
          <cell r="K5" t="str">
            <v>Deposit </v>
          </cell>
          <cell r="L5" t="str">
            <v>Lending </v>
          </cell>
        </row>
        <row r="6">
          <cell r="K6" t="str">
            <v>Rates </v>
          </cell>
          <cell r="L6" t="str">
            <v>Rates </v>
          </cell>
        </row>
        <row r="178">
          <cell r="D178">
            <v>38385</v>
          </cell>
          <cell r="F178">
            <v>7.5</v>
          </cell>
          <cell r="K178">
            <v>6.3</v>
          </cell>
          <cell r="L178">
            <v>10.66</v>
          </cell>
        </row>
        <row r="179">
          <cell r="D179">
            <v>38413</v>
          </cell>
          <cell r="F179">
            <v>7.5</v>
          </cell>
          <cell r="K179">
            <v>6.53</v>
          </cell>
          <cell r="L179">
            <v>10.56</v>
          </cell>
        </row>
        <row r="180">
          <cell r="D180">
            <v>38444</v>
          </cell>
          <cell r="F180">
            <v>7</v>
          </cell>
          <cell r="K180">
            <v>6.5</v>
          </cell>
          <cell r="L180">
            <v>10.66</v>
          </cell>
        </row>
        <row r="181">
          <cell r="D181">
            <v>38474</v>
          </cell>
          <cell r="F181">
            <v>7</v>
          </cell>
          <cell r="K181">
            <v>6.31</v>
          </cell>
          <cell r="L181">
            <v>10.58</v>
          </cell>
        </row>
        <row r="182">
          <cell r="D182">
            <v>38505</v>
          </cell>
          <cell r="F182">
            <v>7</v>
          </cell>
          <cell r="K182">
            <v>6.21</v>
          </cell>
          <cell r="L182">
            <v>10.52</v>
          </cell>
        </row>
        <row r="183">
          <cell r="D183">
            <v>38535</v>
          </cell>
          <cell r="F183">
            <v>7</v>
          </cell>
          <cell r="K183">
            <v>6.13</v>
          </cell>
          <cell r="L183">
            <v>10.52</v>
          </cell>
        </row>
        <row r="184">
          <cell r="D184">
            <v>38566</v>
          </cell>
          <cell r="F184">
            <v>7</v>
          </cell>
          <cell r="K184">
            <v>6.06</v>
          </cell>
          <cell r="L184">
            <v>10.5</v>
          </cell>
        </row>
        <row r="185">
          <cell r="D185">
            <v>38597</v>
          </cell>
          <cell r="F185">
            <v>7</v>
          </cell>
          <cell r="K185">
            <v>6.13</v>
          </cell>
          <cell r="L185">
            <v>10.77</v>
          </cell>
        </row>
        <row r="186">
          <cell r="D186">
            <v>38627</v>
          </cell>
          <cell r="F186">
            <v>7</v>
          </cell>
          <cell r="K186">
            <v>5.98</v>
          </cell>
          <cell r="L186">
            <v>10.55</v>
          </cell>
        </row>
        <row r="187">
          <cell r="D187">
            <v>38658</v>
          </cell>
          <cell r="F187">
            <v>7</v>
          </cell>
          <cell r="K187">
            <v>6.02</v>
          </cell>
          <cell r="L187">
            <v>10.54</v>
          </cell>
        </row>
        <row r="188">
          <cell r="D188">
            <v>38688</v>
          </cell>
          <cell r="F188">
            <v>7</v>
          </cell>
          <cell r="K188">
            <v>5.99</v>
          </cell>
          <cell r="L188">
            <v>10.78</v>
          </cell>
        </row>
        <row r="189">
          <cell r="D189">
            <v>38719</v>
          </cell>
          <cell r="F189">
            <v>7</v>
          </cell>
          <cell r="K189">
            <v>6.09</v>
          </cell>
          <cell r="L189">
            <v>10.46</v>
          </cell>
        </row>
        <row r="190">
          <cell r="D190">
            <v>38750</v>
          </cell>
          <cell r="F190">
            <v>7</v>
          </cell>
          <cell r="K190">
            <v>6.1</v>
          </cell>
          <cell r="L190">
            <v>10.69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lation Old"/>
      <sheetName val="Inflation CPIX -NCPI"/>
      <sheetName val="Sheet2"/>
    </sheetNames>
    <sheetDataSet>
      <sheetData sheetId="1">
        <row r="5">
          <cell r="C5" t="str">
            <v>RSA CPIX</v>
          </cell>
          <cell r="D5" t="str">
            <v>NCPI</v>
          </cell>
        </row>
        <row r="6">
          <cell r="B6">
            <v>38385</v>
          </cell>
          <cell r="C6">
            <v>3.1</v>
          </cell>
          <cell r="D6">
            <v>2.6</v>
          </cell>
        </row>
        <row r="7">
          <cell r="B7">
            <v>38413</v>
          </cell>
          <cell r="C7">
            <v>3</v>
          </cell>
          <cell r="D7">
            <v>1.7</v>
          </cell>
        </row>
        <row r="8">
          <cell r="B8">
            <v>38444</v>
          </cell>
          <cell r="C8">
            <v>3.8</v>
          </cell>
          <cell r="D8">
            <v>1.6</v>
          </cell>
        </row>
        <row r="9">
          <cell r="B9">
            <v>38474</v>
          </cell>
          <cell r="C9">
            <v>3.9</v>
          </cell>
          <cell r="D9">
            <v>0.9</v>
          </cell>
        </row>
        <row r="10">
          <cell r="B10">
            <v>38505</v>
          </cell>
          <cell r="C10">
            <v>3.5</v>
          </cell>
          <cell r="D10">
            <v>1.3</v>
          </cell>
        </row>
        <row r="11">
          <cell r="B11">
            <v>38535</v>
          </cell>
          <cell r="C11">
            <v>4.2</v>
          </cell>
          <cell r="D11">
            <v>1.7</v>
          </cell>
        </row>
        <row r="12">
          <cell r="B12">
            <v>38566</v>
          </cell>
          <cell r="C12">
            <v>4.8</v>
          </cell>
          <cell r="D12">
            <v>2.2</v>
          </cell>
        </row>
        <row r="13">
          <cell r="B13">
            <v>38597</v>
          </cell>
          <cell r="C13">
            <v>4.7</v>
          </cell>
          <cell r="D13">
            <v>2.9</v>
          </cell>
        </row>
        <row r="14">
          <cell r="B14">
            <v>38627</v>
          </cell>
          <cell r="C14">
            <v>4.4</v>
          </cell>
          <cell r="D14">
            <v>2.9</v>
          </cell>
        </row>
        <row r="15">
          <cell r="B15">
            <v>38658</v>
          </cell>
          <cell r="C15">
            <v>3.7</v>
          </cell>
          <cell r="D15">
            <v>3.4</v>
          </cell>
        </row>
        <row r="16">
          <cell r="B16">
            <v>38688</v>
          </cell>
          <cell r="C16">
            <v>4</v>
          </cell>
          <cell r="D16">
            <v>3.4</v>
          </cell>
        </row>
        <row r="17">
          <cell r="B17">
            <v>38719</v>
          </cell>
          <cell r="C17">
            <v>4.3</v>
          </cell>
          <cell r="D17">
            <v>3.6</v>
          </cell>
        </row>
        <row r="18">
          <cell r="B18">
            <v>38750</v>
          </cell>
          <cell r="C18">
            <v>4.5</v>
          </cell>
          <cell r="D18">
            <v>3.7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22"/>
  <sheetViews>
    <sheetView workbookViewId="0" topLeftCell="A1">
      <selection activeCell="A12" sqref="A12"/>
    </sheetView>
  </sheetViews>
  <sheetFormatPr defaultColWidth="9.140625" defaultRowHeight="12"/>
  <cols>
    <col min="1" max="1" width="113.28125" style="0" bestFit="1" customWidth="1"/>
  </cols>
  <sheetData>
    <row r="2" ht="37.5">
      <c r="A2" s="34"/>
    </row>
    <row r="3" ht="37.5">
      <c r="A3" s="34"/>
    </row>
    <row r="4" ht="33">
      <c r="A4" s="35"/>
    </row>
    <row r="5" ht="37.5">
      <c r="A5" s="34"/>
    </row>
    <row r="6" ht="33">
      <c r="A6" s="35"/>
    </row>
    <row r="7" ht="36.75">
      <c r="A7" s="36"/>
    </row>
    <row r="8" ht="37.5">
      <c r="A8" s="36"/>
    </row>
    <row r="9" ht="37.5">
      <c r="A9" s="36"/>
    </row>
    <row r="11" ht="40.5">
      <c r="A11" s="37" t="s">
        <v>52</v>
      </c>
    </row>
    <row r="12" ht="40.5">
      <c r="A12" s="37"/>
    </row>
    <row r="13" ht="40.5">
      <c r="A13" s="37"/>
    </row>
    <row r="14" ht="40.5">
      <c r="A14" s="37"/>
    </row>
    <row r="15" ht="40.5">
      <c r="A15" s="37" t="s">
        <v>53</v>
      </c>
    </row>
    <row r="16" ht="40.5">
      <c r="A16" s="37"/>
    </row>
    <row r="17" ht="40.5">
      <c r="A17" s="37"/>
    </row>
    <row r="18" ht="40.5">
      <c r="A18" s="37" t="s">
        <v>54</v>
      </c>
    </row>
    <row r="19" ht="40.5">
      <c r="A19" s="37"/>
    </row>
    <row r="20" ht="40.5">
      <c r="A20" s="37"/>
    </row>
    <row r="21" ht="40.5">
      <c r="A21" s="39">
        <v>38756</v>
      </c>
    </row>
    <row r="22" ht="40.5">
      <c r="A22" s="38"/>
    </row>
  </sheetData>
  <printOptions/>
  <pageMargins left="0.75" right="0.75" top="1" bottom="1" header="0.5" footer="0.5"/>
  <pageSetup fitToHeight="1" fitToWidth="1" horizontalDpi="1200" verticalDpi="12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55"/>
  <sheetViews>
    <sheetView workbookViewId="0" topLeftCell="A19">
      <selection activeCell="B2" sqref="B2:F51"/>
    </sheetView>
  </sheetViews>
  <sheetFormatPr defaultColWidth="9.140625" defaultRowHeight="12"/>
  <cols>
    <col min="2" max="2" width="43.28125" style="0" bestFit="1" customWidth="1"/>
    <col min="3" max="3" width="9.7109375" style="0" customWidth="1"/>
    <col min="4" max="4" width="11.140625" style="0" customWidth="1"/>
    <col min="5" max="5" width="17.7109375" style="0" customWidth="1"/>
    <col min="6" max="6" width="13.421875" style="0" customWidth="1"/>
  </cols>
  <sheetData>
    <row r="1" ht="12" thickBot="1"/>
    <row r="2" spans="2:6" ht="11.25">
      <c r="B2" s="187" t="s">
        <v>154</v>
      </c>
      <c r="C2" s="188"/>
      <c r="D2" s="188"/>
      <c r="E2" s="188"/>
      <c r="F2" s="188"/>
    </row>
    <row r="3" spans="2:6" ht="11.25">
      <c r="B3" s="50"/>
      <c r="C3" s="29"/>
      <c r="D3" s="29"/>
      <c r="E3" s="108"/>
      <c r="F3" s="108" t="s">
        <v>138</v>
      </c>
    </row>
    <row r="4" spans="2:6" ht="11.25">
      <c r="B4" s="51"/>
      <c r="C4" s="16">
        <v>38748</v>
      </c>
      <c r="D4" s="16">
        <v>38776</v>
      </c>
      <c r="E4" s="110" t="s">
        <v>46</v>
      </c>
      <c r="F4" s="110" t="s">
        <v>46</v>
      </c>
    </row>
    <row r="5" spans="2:6" ht="11.25">
      <c r="B5" s="31"/>
      <c r="C5" s="44"/>
      <c r="D5" s="44"/>
      <c r="E5" s="45"/>
      <c r="F5" s="45"/>
    </row>
    <row r="6" spans="2:9" ht="11.25">
      <c r="B6" s="52" t="s">
        <v>0</v>
      </c>
      <c r="C6" s="114">
        <v>891.4310677700005</v>
      </c>
      <c r="D6" s="114">
        <v>418.3940563500005</v>
      </c>
      <c r="E6" s="114">
        <v>-473.03701142</v>
      </c>
      <c r="F6" s="114">
        <v>-53.064900755966136</v>
      </c>
      <c r="I6" s="103"/>
    </row>
    <row r="7" spans="2:6" ht="11.25">
      <c r="B7" s="52" t="s">
        <v>90</v>
      </c>
      <c r="C7" s="114">
        <v>25156.91173032</v>
      </c>
      <c r="D7" s="114">
        <v>25823.37077546</v>
      </c>
      <c r="E7" s="117">
        <v>666.45904514</v>
      </c>
      <c r="F7" s="114">
        <v>2.6492085049404532</v>
      </c>
    </row>
    <row r="8" spans="2:6" ht="11.25">
      <c r="B8" s="54" t="s">
        <v>108</v>
      </c>
      <c r="C8" s="115">
        <v>820.9144654800007</v>
      </c>
      <c r="D8" s="115">
        <v>777.9828898700002</v>
      </c>
      <c r="E8" s="118">
        <v>-42.931575610000436</v>
      </c>
      <c r="F8" s="115">
        <v>-5.229725801566637</v>
      </c>
    </row>
    <row r="9" spans="2:6" ht="11.25">
      <c r="B9" s="54" t="s">
        <v>55</v>
      </c>
      <c r="C9" s="114">
        <v>24335.99726484</v>
      </c>
      <c r="D9" s="114">
        <v>25045.38788559</v>
      </c>
      <c r="E9" s="118">
        <v>709.3906207500004</v>
      </c>
      <c r="F9" s="115">
        <v>2.914984798157046</v>
      </c>
    </row>
    <row r="10" spans="2:6" ht="11.25">
      <c r="B10" s="87" t="s">
        <v>114</v>
      </c>
      <c r="C10" s="115">
        <v>26.705</v>
      </c>
      <c r="D10" s="115">
        <v>31.221</v>
      </c>
      <c r="E10" s="118">
        <v>4.516000000000002</v>
      </c>
      <c r="F10" s="115">
        <v>16.910690881857338</v>
      </c>
    </row>
    <row r="11" spans="2:6" ht="11.25">
      <c r="B11" s="87" t="s">
        <v>115</v>
      </c>
      <c r="C11" s="115">
        <v>28.34</v>
      </c>
      <c r="D11" s="115">
        <v>32.127</v>
      </c>
      <c r="E11" s="118">
        <v>3.7870000000000026</v>
      </c>
      <c r="F11" s="115">
        <v>13.36273817925195</v>
      </c>
    </row>
    <row r="12" spans="2:6" ht="11.25">
      <c r="B12" s="87" t="s">
        <v>116</v>
      </c>
      <c r="C12" s="115">
        <v>288.023</v>
      </c>
      <c r="D12" s="115">
        <v>285.428</v>
      </c>
      <c r="E12" s="118">
        <v>-2.5950000000000273</v>
      </c>
      <c r="F12" s="115">
        <v>-0.9009697142242207</v>
      </c>
    </row>
    <row r="13" spans="2:6" ht="11.25">
      <c r="B13" s="87" t="s">
        <v>117</v>
      </c>
      <c r="C13" s="115">
        <v>8479.001999999999</v>
      </c>
      <c r="D13" s="115">
        <v>8964.192000000001</v>
      </c>
      <c r="E13" s="118">
        <v>485.1900000000023</v>
      </c>
      <c r="F13" s="115">
        <v>5.722253633151666</v>
      </c>
    </row>
    <row r="14" spans="2:9" ht="11.25">
      <c r="B14" s="87" t="s">
        <v>118</v>
      </c>
      <c r="C14" s="115">
        <v>15513.927264840004</v>
      </c>
      <c r="D14" s="115">
        <v>15732.41988559</v>
      </c>
      <c r="E14" s="118">
        <v>218.4926207499957</v>
      </c>
      <c r="F14" s="115">
        <v>1.4083643491430862</v>
      </c>
      <c r="G14" s="100"/>
      <c r="H14" s="100"/>
      <c r="I14" s="103"/>
    </row>
    <row r="15" spans="2:6" ht="11.25">
      <c r="B15" s="52" t="s">
        <v>47</v>
      </c>
      <c r="C15" s="114">
        <v>-8251.924128089999</v>
      </c>
      <c r="D15" s="114">
        <v>-8019.575688490004</v>
      </c>
      <c r="E15" s="117">
        <v>232.3484395999949</v>
      </c>
      <c r="F15" s="114">
        <v>-2.8156880261303927</v>
      </c>
    </row>
    <row r="16" spans="2:6" ht="12" thickBot="1">
      <c r="B16" s="55" t="s">
        <v>58</v>
      </c>
      <c r="C16" s="116">
        <v>17796.418670000003</v>
      </c>
      <c r="D16" s="116">
        <v>18222.189143319996</v>
      </c>
      <c r="E16" s="119">
        <v>425.77047331999347</v>
      </c>
      <c r="F16" s="116">
        <v>2.392450308205709</v>
      </c>
    </row>
    <row r="17" spans="2:6" ht="12" thickBot="1">
      <c r="B17" s="57"/>
      <c r="C17" s="46"/>
      <c r="D17" s="46"/>
      <c r="E17" s="46"/>
      <c r="F17" s="46"/>
    </row>
    <row r="18" spans="2:6" ht="11.25">
      <c r="B18" s="187" t="s">
        <v>155</v>
      </c>
      <c r="C18" s="188"/>
      <c r="D18" s="188"/>
      <c r="E18" s="188"/>
      <c r="F18" s="188"/>
    </row>
    <row r="19" spans="2:6" ht="11.25">
      <c r="B19" s="50"/>
      <c r="C19" s="29"/>
      <c r="D19" s="29"/>
      <c r="E19" s="108"/>
      <c r="F19" s="108" t="s">
        <v>147</v>
      </c>
    </row>
    <row r="20" spans="2:6" ht="11.25">
      <c r="B20" s="51"/>
      <c r="C20" s="16">
        <v>38748</v>
      </c>
      <c r="D20" s="16">
        <v>38776</v>
      </c>
      <c r="E20" s="110" t="s">
        <v>46</v>
      </c>
      <c r="F20" s="110" t="s">
        <v>148</v>
      </c>
    </row>
    <row r="21" spans="2:6" ht="11.25">
      <c r="B21" s="58"/>
      <c r="C21" s="47"/>
      <c r="D21" s="47"/>
      <c r="E21" s="47"/>
      <c r="F21" s="47"/>
    </row>
    <row r="22" spans="2:6" ht="11.25">
      <c r="B22" s="52" t="s">
        <v>58</v>
      </c>
      <c r="C22" s="114">
        <v>17796.424857460002</v>
      </c>
      <c r="D22" s="114">
        <v>18222.195828539996</v>
      </c>
      <c r="E22" s="114">
        <v>425.7709710799936</v>
      </c>
      <c r="F22" s="114">
        <v>2.3924522733649876</v>
      </c>
    </row>
    <row r="23" spans="2:7" ht="11.25">
      <c r="B23" s="54" t="s">
        <v>59</v>
      </c>
      <c r="C23" s="115">
        <v>646.86359715</v>
      </c>
      <c r="D23" s="115">
        <v>662.99512375</v>
      </c>
      <c r="E23" s="115">
        <v>16.131526599999916</v>
      </c>
      <c r="F23" s="115">
        <v>2.4938065259930227</v>
      </c>
      <c r="G23" s="100"/>
    </row>
    <row r="24" spans="2:6" ht="11.25">
      <c r="B24" s="54" t="s">
        <v>60</v>
      </c>
      <c r="C24" s="115">
        <v>9213.5381656</v>
      </c>
      <c r="D24" s="115">
        <v>9693.62094311</v>
      </c>
      <c r="E24" s="115">
        <v>480.0827775099988</v>
      </c>
      <c r="F24" s="115">
        <v>5.210623420462436</v>
      </c>
    </row>
    <row r="25" spans="2:6" ht="11.25">
      <c r="B25" s="54" t="s">
        <v>61</v>
      </c>
      <c r="C25" s="115">
        <v>7936.023094710001</v>
      </c>
      <c r="D25" s="115">
        <v>7865.579761679999</v>
      </c>
      <c r="E25" s="115">
        <v>-70.44333303000167</v>
      </c>
      <c r="F25" s="115">
        <v>-0.8876402221782573</v>
      </c>
    </row>
    <row r="26" spans="2:6" ht="12" thickBot="1">
      <c r="B26" s="59"/>
      <c r="C26" s="18"/>
      <c r="D26" s="18"/>
      <c r="E26" s="18"/>
      <c r="F26" s="18"/>
    </row>
    <row r="27" spans="2:6" ht="11.25">
      <c r="B27" s="66"/>
      <c r="C27" s="32"/>
      <c r="D27" s="32"/>
      <c r="E27" s="32"/>
      <c r="F27" s="32"/>
    </row>
    <row r="28" spans="2:6" ht="11.25">
      <c r="B28" s="66"/>
      <c r="C28" s="32"/>
      <c r="D28" s="32"/>
      <c r="E28" s="32"/>
      <c r="F28" s="32"/>
    </row>
    <row r="29" spans="2:6" ht="12" thickBot="1">
      <c r="B29" s="60"/>
      <c r="C29" s="46"/>
      <c r="D29" s="46"/>
      <c r="E29" s="46"/>
      <c r="F29" s="46"/>
    </row>
    <row r="30" spans="2:6" ht="11.25">
      <c r="B30" s="187" t="s">
        <v>156</v>
      </c>
      <c r="C30" s="188"/>
      <c r="D30" s="188"/>
      <c r="E30" s="188"/>
      <c r="F30" s="188"/>
    </row>
    <row r="31" spans="2:6" ht="11.25">
      <c r="B31" s="50"/>
      <c r="C31" s="29"/>
      <c r="D31" s="29"/>
      <c r="E31" s="106"/>
      <c r="F31" s="108" t="s">
        <v>138</v>
      </c>
    </row>
    <row r="32" spans="2:6" ht="11.25">
      <c r="B32" s="51"/>
      <c r="C32" s="16">
        <v>38748</v>
      </c>
      <c r="D32" s="16">
        <v>38776</v>
      </c>
      <c r="E32" s="107" t="s">
        <v>46</v>
      </c>
      <c r="F32" s="109" t="s">
        <v>46</v>
      </c>
    </row>
    <row r="33" spans="2:6" ht="11.25">
      <c r="B33" s="49"/>
      <c r="C33" s="48"/>
      <c r="D33" s="48"/>
      <c r="E33" s="49"/>
      <c r="F33" s="49"/>
    </row>
    <row r="34" spans="2:6" ht="11.25">
      <c r="B34" s="61" t="s">
        <v>127</v>
      </c>
      <c r="C34" s="120">
        <v>23966.55040296</v>
      </c>
      <c r="D34" s="120">
        <v>24664.460373759997</v>
      </c>
      <c r="E34" s="120">
        <v>697.9099707999958</v>
      </c>
      <c r="F34" s="120">
        <v>2.912016786169611</v>
      </c>
    </row>
    <row r="35" spans="2:6" ht="11.25">
      <c r="B35" s="88" t="s">
        <v>56</v>
      </c>
      <c r="C35" s="121">
        <v>0</v>
      </c>
      <c r="D35" s="121">
        <v>0</v>
      </c>
      <c r="E35" s="121">
        <v>0</v>
      </c>
      <c r="F35" s="121">
        <v>0</v>
      </c>
    </row>
    <row r="36" spans="2:6" ht="11.25">
      <c r="B36" s="88" t="s">
        <v>62</v>
      </c>
      <c r="C36" s="120">
        <v>8407.51</v>
      </c>
      <c r="D36" s="120">
        <v>8891.904</v>
      </c>
      <c r="E36" s="120">
        <v>484.39400000000023</v>
      </c>
      <c r="F36" s="120">
        <v>5.761444232596812</v>
      </c>
    </row>
    <row r="37" spans="2:6" ht="11.25">
      <c r="B37" s="62" t="s">
        <v>139</v>
      </c>
      <c r="C37" s="122">
        <v>6563.508</v>
      </c>
      <c r="D37" s="122">
        <v>7024.109</v>
      </c>
      <c r="E37" s="121">
        <v>460.60100000000057</v>
      </c>
      <c r="F37" s="121">
        <v>7.017604000787394</v>
      </c>
    </row>
    <row r="38" spans="2:6" ht="11.25">
      <c r="B38" s="63" t="s">
        <v>144</v>
      </c>
      <c r="C38" s="64">
        <v>689.746</v>
      </c>
      <c r="D38" s="64">
        <v>692.455</v>
      </c>
      <c r="E38" s="121">
        <v>2.70900000000006</v>
      </c>
      <c r="F38" s="121">
        <v>0.392753274393771</v>
      </c>
    </row>
    <row r="39" spans="2:6" ht="11.25">
      <c r="B39" s="63" t="s">
        <v>145</v>
      </c>
      <c r="C39" s="64">
        <v>5873.762000000001</v>
      </c>
      <c r="D39" s="64">
        <v>6331.654</v>
      </c>
      <c r="E39" s="121">
        <v>457.8919999999998</v>
      </c>
      <c r="F39" s="121">
        <v>7.795549087620503</v>
      </c>
    </row>
    <row r="40" spans="2:6" ht="11.25">
      <c r="B40" s="62" t="s">
        <v>140</v>
      </c>
      <c r="C40" s="64">
        <v>1027.609</v>
      </c>
      <c r="D40" s="64">
        <v>1049.252</v>
      </c>
      <c r="E40" s="121">
        <v>21.64300000000003</v>
      </c>
      <c r="F40" s="121">
        <v>2.1061512695976807</v>
      </c>
    </row>
    <row r="41" spans="2:6" ht="11.25">
      <c r="B41" s="62" t="s">
        <v>141</v>
      </c>
      <c r="C41" s="64">
        <v>39.548</v>
      </c>
      <c r="D41" s="64">
        <v>39.188</v>
      </c>
      <c r="E41" s="121">
        <v>-0.35999999999999943</v>
      </c>
      <c r="F41" s="121">
        <v>-0.9102862344492754</v>
      </c>
    </row>
    <row r="42" spans="2:6" ht="11.25">
      <c r="B42" s="62" t="s">
        <v>142</v>
      </c>
      <c r="C42" s="64">
        <v>776.845</v>
      </c>
      <c r="D42" s="64">
        <v>779.355</v>
      </c>
      <c r="E42" s="121">
        <v>2.509999999999991</v>
      </c>
      <c r="F42" s="121">
        <v>0.3231017770597726</v>
      </c>
    </row>
    <row r="43" spans="2:6" ht="11.25">
      <c r="B43" s="88" t="s">
        <v>98</v>
      </c>
      <c r="C43" s="123">
        <v>15499.93340296</v>
      </c>
      <c r="D43" s="123">
        <v>15718.71937376</v>
      </c>
      <c r="E43" s="120">
        <v>218.78597079999963</v>
      </c>
      <c r="F43" s="120">
        <v>1.4115284570075532</v>
      </c>
    </row>
    <row r="44" spans="2:7" ht="11.25">
      <c r="B44" s="62" t="s">
        <v>143</v>
      </c>
      <c r="C44" s="65">
        <v>12234.620402960001</v>
      </c>
      <c r="D44" s="65">
        <v>12378.48737376</v>
      </c>
      <c r="E44" s="121">
        <v>143.86697079999794</v>
      </c>
      <c r="F44" s="121">
        <v>1.1759005679096612</v>
      </c>
      <c r="G44" s="93"/>
    </row>
    <row r="45" spans="2:8" ht="11.25">
      <c r="B45" s="63" t="s">
        <v>144</v>
      </c>
      <c r="C45" s="64">
        <v>9952.104803920001</v>
      </c>
      <c r="D45" s="64">
        <v>10036.031240029999</v>
      </c>
      <c r="E45" s="121">
        <v>83.92643610999767</v>
      </c>
      <c r="F45" s="121">
        <v>0.843303379170004</v>
      </c>
      <c r="G45" s="93"/>
      <c r="H45" s="93"/>
    </row>
    <row r="46" spans="2:6" ht="11.25">
      <c r="B46" s="63" t="s">
        <v>145</v>
      </c>
      <c r="C46" s="64">
        <v>2282.5155990400003</v>
      </c>
      <c r="D46" s="64">
        <v>2342.45613373</v>
      </c>
      <c r="E46" s="121">
        <v>59.94053468999982</v>
      </c>
      <c r="F46" s="121">
        <v>2.6260733865394004</v>
      </c>
    </row>
    <row r="47" spans="2:6" ht="11.25">
      <c r="B47" s="62" t="s">
        <v>140</v>
      </c>
      <c r="C47" s="64">
        <v>2895.568</v>
      </c>
      <c r="D47" s="64">
        <v>2965.046</v>
      </c>
      <c r="E47" s="121">
        <v>69.47799999999961</v>
      </c>
      <c r="F47" s="121">
        <v>2.3994601404629283</v>
      </c>
    </row>
    <row r="48" spans="2:6" ht="11.25">
      <c r="B48" s="62" t="s">
        <v>141</v>
      </c>
      <c r="C48" s="64">
        <v>59.312</v>
      </c>
      <c r="D48" s="64">
        <v>60.804</v>
      </c>
      <c r="E48" s="121">
        <v>1.4920000000000044</v>
      </c>
      <c r="F48" s="121">
        <v>2.515511195036425</v>
      </c>
    </row>
    <row r="49" spans="2:7" ht="11.25">
      <c r="B49" s="62" t="s">
        <v>142</v>
      </c>
      <c r="C49" s="64">
        <v>310.433</v>
      </c>
      <c r="D49" s="64">
        <v>314.382</v>
      </c>
      <c r="E49" s="121">
        <v>3.9490000000000123</v>
      </c>
      <c r="F49" s="121">
        <v>1.2720941394761551</v>
      </c>
      <c r="G49" s="93"/>
    </row>
    <row r="50" spans="2:6" ht="12" thickBot="1">
      <c r="B50" s="97" t="s">
        <v>128</v>
      </c>
      <c r="C50" s="124">
        <v>59.107</v>
      </c>
      <c r="D50" s="124">
        <v>53.836999999999996</v>
      </c>
      <c r="E50" s="125">
        <v>-5.27</v>
      </c>
      <c r="F50" s="125">
        <v>-8.916033633918154</v>
      </c>
    </row>
    <row r="51" spans="2:6" ht="11.25">
      <c r="B51" s="111" t="s">
        <v>150</v>
      </c>
      <c r="C51" s="67"/>
      <c r="D51" s="67"/>
      <c r="E51" s="67"/>
      <c r="F51" s="66"/>
    </row>
    <row r="52" ht="11.25">
      <c r="B52" s="113"/>
    </row>
    <row r="53" ht="11.25">
      <c r="B53" s="112"/>
    </row>
    <row r="54" ht="11.25">
      <c r="B54" s="112"/>
    </row>
    <row r="55" ht="11.25">
      <c r="B55" s="102"/>
    </row>
  </sheetData>
  <mergeCells count="3">
    <mergeCell ref="B30:F30"/>
    <mergeCell ref="B2:F2"/>
    <mergeCell ref="B18:F18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Q48"/>
  <sheetViews>
    <sheetView showGridLines="0" workbookViewId="0" topLeftCell="A1">
      <selection activeCell="A4" sqref="A4:N48"/>
    </sheetView>
  </sheetViews>
  <sheetFormatPr defaultColWidth="9.28125" defaultRowHeight="12"/>
  <cols>
    <col min="1" max="14" width="9.28125" style="1" customWidth="1"/>
    <col min="15" max="16384" width="9.28125" style="1" customWidth="1"/>
  </cols>
  <sheetData>
    <row r="4" spans="1:12" ht="15.75">
      <c r="A4" s="189" t="s">
        <v>146</v>
      </c>
      <c r="B4" s="190"/>
      <c r="C4" s="190"/>
      <c r="D4" s="190"/>
      <c r="E4" s="190"/>
      <c r="F4" s="190"/>
      <c r="G4" s="190"/>
      <c r="H4" s="190"/>
      <c r="I4" s="190"/>
      <c r="J4" s="190"/>
      <c r="K4" s="191"/>
      <c r="L4" s="191"/>
    </row>
    <row r="25" spans="1:12" ht="15.75">
      <c r="A25" s="189"/>
      <c r="B25" s="190"/>
      <c r="C25" s="190"/>
      <c r="D25" s="190"/>
      <c r="E25" s="190"/>
      <c r="F25" s="190"/>
      <c r="G25" s="190"/>
      <c r="H25" s="190"/>
      <c r="I25" s="190"/>
      <c r="J25" s="190"/>
      <c r="K25" s="191"/>
      <c r="L25" s="191"/>
    </row>
    <row r="26" spans="1:12" ht="15.75">
      <c r="A26" s="189" t="s">
        <v>151</v>
      </c>
      <c r="B26" s="190"/>
      <c r="C26" s="190"/>
      <c r="D26" s="190"/>
      <c r="E26" s="190"/>
      <c r="F26" s="190"/>
      <c r="G26" s="190"/>
      <c r="H26" s="190"/>
      <c r="I26" s="190"/>
      <c r="J26" s="190"/>
      <c r="K26" s="191"/>
      <c r="L26" s="191"/>
    </row>
    <row r="27" spans="2:12" ht="15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</row>
    <row r="28" spans="2:12" ht="15"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</row>
    <row r="29" spans="2:17" ht="15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Q29" s="20"/>
    </row>
    <row r="30" spans="2:12" ht="15"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</row>
    <row r="31" spans="2:12" ht="15"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</row>
    <row r="32" spans="2:12" ht="15"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</row>
    <row r="33" spans="2:12" ht="15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</row>
    <row r="34" spans="2:12" ht="15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</row>
    <row r="35" spans="2:12" ht="15"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</row>
    <row r="36" spans="2:12" ht="15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</row>
    <row r="37" spans="2:12" ht="15"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</row>
    <row r="38" spans="2:12" ht="1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</row>
    <row r="39" spans="2:12" ht="15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</row>
    <row r="40" spans="2:12" ht="15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</row>
    <row r="41" spans="2:12" ht="15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</row>
    <row r="42" spans="2:12" ht="15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</row>
    <row r="43" spans="2:12" ht="15"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</row>
    <row r="44" spans="2:12" ht="1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</row>
    <row r="45" spans="2:12" ht="15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</row>
    <row r="46" spans="2:12" ht="15">
      <c r="B46" s="30" t="s">
        <v>129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</row>
    <row r="47" spans="2:5" ht="15">
      <c r="B47" s="30" t="s">
        <v>130</v>
      </c>
      <c r="C47" s="30"/>
      <c r="D47" s="30"/>
      <c r="E47" s="30"/>
    </row>
    <row r="48" spans="2:5" ht="15">
      <c r="B48" s="30"/>
      <c r="C48" s="30"/>
      <c r="D48" s="30"/>
      <c r="E48" s="30"/>
    </row>
  </sheetData>
  <mergeCells count="3">
    <mergeCell ref="A4:L4"/>
    <mergeCell ref="A25:L25"/>
    <mergeCell ref="A26:L26"/>
  </mergeCells>
  <printOptions horizontalCentered="1"/>
  <pageMargins left="0.43" right="0.29" top="1" bottom="1" header="0.5" footer="0.5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showGridLines="0" zoomScale="75" zoomScaleNormal="75" zoomScaleSheetLayoutView="75" workbookViewId="0" topLeftCell="A1">
      <selection activeCell="A2" sqref="A2:C83"/>
    </sheetView>
  </sheetViews>
  <sheetFormatPr defaultColWidth="9.140625" defaultRowHeight="12"/>
  <cols>
    <col min="1" max="1" width="82.8515625" style="2" customWidth="1"/>
    <col min="2" max="2" width="12.7109375" style="2" customWidth="1"/>
    <col min="3" max="3" width="12.00390625" style="2" customWidth="1"/>
    <col min="4" max="4" width="12.421875" style="2" customWidth="1"/>
    <col min="5" max="5" width="24.140625" style="2" customWidth="1"/>
    <col min="6" max="7" width="9.28125" style="2" customWidth="1"/>
    <col min="8" max="8" width="17.28125" style="2" bestFit="1" customWidth="1"/>
    <col min="9" max="9" width="9.28125" style="2" customWidth="1"/>
    <col min="10" max="10" width="16.140625" style="2" bestFit="1" customWidth="1"/>
    <col min="11" max="16384" width="9.28125" style="2" customWidth="1"/>
  </cols>
  <sheetData>
    <row r="1" ht="12.75" thickBot="1">
      <c r="A1" s="28" t="s">
        <v>48</v>
      </c>
    </row>
    <row r="2" spans="1:5" ht="12.75" thickBot="1">
      <c r="A2" s="3" t="s">
        <v>1</v>
      </c>
      <c r="B2" s="89">
        <v>38748</v>
      </c>
      <c r="C2" s="89">
        <v>38776</v>
      </c>
      <c r="D2" s="4"/>
      <c r="E2" s="5"/>
    </row>
    <row r="3" spans="1:5" ht="12">
      <c r="A3" s="6"/>
      <c r="B3" s="42"/>
      <c r="C3" s="42"/>
      <c r="D3" s="7"/>
      <c r="E3" s="5"/>
    </row>
    <row r="4" spans="1:5" ht="12">
      <c r="A4" s="6" t="s">
        <v>2</v>
      </c>
      <c r="B4" s="43">
        <v>7</v>
      </c>
      <c r="C4" s="43">
        <v>7</v>
      </c>
      <c r="D4" s="33"/>
      <c r="E4" s="5"/>
    </row>
    <row r="5" spans="1:5" ht="12">
      <c r="A5" s="6"/>
      <c r="B5" s="43"/>
      <c r="C5" s="43"/>
      <c r="D5" s="8"/>
      <c r="E5" s="5"/>
    </row>
    <row r="6" spans="1:5" ht="12">
      <c r="A6" s="6" t="s">
        <v>42</v>
      </c>
      <c r="B6" s="43">
        <v>11.75</v>
      </c>
      <c r="C6" s="43">
        <v>11.75</v>
      </c>
      <c r="D6" s="33"/>
      <c r="E6" s="5"/>
    </row>
    <row r="7" spans="1:5" ht="12">
      <c r="A7" s="6"/>
      <c r="B7" s="43"/>
      <c r="C7" s="43"/>
      <c r="D7" s="8"/>
      <c r="E7" s="5"/>
    </row>
    <row r="8" spans="1:5" ht="12">
      <c r="A8" s="6" t="s">
        <v>3</v>
      </c>
      <c r="B8" s="43">
        <v>12</v>
      </c>
      <c r="C8" s="43">
        <v>12</v>
      </c>
      <c r="D8" s="8"/>
      <c r="E8" s="5"/>
    </row>
    <row r="9" spans="1:5" ht="12">
      <c r="A9" s="6"/>
      <c r="B9" s="43"/>
      <c r="C9" s="43"/>
      <c r="D9" s="8"/>
      <c r="E9" s="5"/>
    </row>
    <row r="10" spans="1:5" ht="12">
      <c r="A10" s="6" t="s">
        <v>4</v>
      </c>
      <c r="B10" s="43">
        <v>10.46</v>
      </c>
      <c r="C10" s="43">
        <v>10.46</v>
      </c>
      <c r="D10" s="8"/>
      <c r="E10" s="5"/>
    </row>
    <row r="11" spans="1:5" ht="12">
      <c r="A11" s="6"/>
      <c r="B11" s="43"/>
      <c r="C11" s="43"/>
      <c r="D11" s="8"/>
      <c r="E11" s="5"/>
    </row>
    <row r="12" spans="1:5" ht="12">
      <c r="A12" s="6" t="s">
        <v>5</v>
      </c>
      <c r="B12" s="43">
        <v>6.09</v>
      </c>
      <c r="C12" s="43">
        <v>6.97</v>
      </c>
      <c r="D12" s="8"/>
      <c r="E12" s="5"/>
    </row>
    <row r="13" spans="1:5" ht="12">
      <c r="A13" s="6"/>
      <c r="B13" s="43"/>
      <c r="C13" s="43"/>
      <c r="D13" s="8"/>
      <c r="E13" s="5"/>
    </row>
    <row r="14" spans="1:5" ht="12">
      <c r="A14" s="9" t="s">
        <v>6</v>
      </c>
      <c r="B14" s="43"/>
      <c r="C14" s="43"/>
      <c r="D14" s="5"/>
      <c r="E14" s="5"/>
    </row>
    <row r="15" spans="1:3" ht="12">
      <c r="A15" s="6"/>
      <c r="B15" s="43"/>
      <c r="C15" s="43"/>
    </row>
    <row r="16" spans="1:3" ht="12">
      <c r="A16" s="6" t="s">
        <v>7</v>
      </c>
      <c r="B16" s="43">
        <v>7.03</v>
      </c>
      <c r="C16" s="43">
        <v>6.94</v>
      </c>
    </row>
    <row r="17" spans="1:3" ht="12">
      <c r="A17" s="6" t="s">
        <v>41</v>
      </c>
      <c r="B17" s="43">
        <v>7.36</v>
      </c>
      <c r="C17" s="43">
        <v>7.26</v>
      </c>
    </row>
    <row r="18" spans="1:3" ht="12">
      <c r="A18" s="6" t="s">
        <v>8</v>
      </c>
      <c r="B18" s="96">
        <v>2575</v>
      </c>
      <c r="C18" s="96">
        <v>50</v>
      </c>
    </row>
    <row r="19" spans="1:3" ht="12">
      <c r="A19" s="6" t="s">
        <v>9</v>
      </c>
      <c r="B19" s="96">
        <v>30</v>
      </c>
      <c r="C19" s="96">
        <v>60</v>
      </c>
    </row>
    <row r="20" spans="1:3" ht="12">
      <c r="A20" s="6"/>
      <c r="B20" s="43"/>
      <c r="C20" s="43"/>
    </row>
    <row r="21" spans="1:3" ht="12">
      <c r="A21" s="9" t="s">
        <v>10</v>
      </c>
      <c r="B21" s="43"/>
      <c r="C21" s="43"/>
    </row>
    <row r="22" spans="1:3" ht="12">
      <c r="A22" s="6"/>
      <c r="B22" s="43"/>
      <c r="C22" s="43"/>
    </row>
    <row r="23" spans="1:3" ht="12">
      <c r="A23" s="6" t="s">
        <v>7</v>
      </c>
      <c r="B23" s="96">
        <v>6.93</v>
      </c>
      <c r="C23" s="96">
        <v>6.97</v>
      </c>
    </row>
    <row r="24" spans="1:3" ht="12">
      <c r="A24" s="6" t="s">
        <v>40</v>
      </c>
      <c r="B24" s="43">
        <v>7.32</v>
      </c>
      <c r="C24" s="43">
        <v>7.35</v>
      </c>
    </row>
    <row r="25" spans="1:3" ht="12">
      <c r="A25" s="6" t="s">
        <v>8</v>
      </c>
      <c r="B25" s="96">
        <v>50</v>
      </c>
      <c r="C25" s="96">
        <v>200</v>
      </c>
    </row>
    <row r="26" spans="1:3" ht="12">
      <c r="A26" s="6" t="s">
        <v>9</v>
      </c>
      <c r="B26" s="96">
        <v>80</v>
      </c>
      <c r="C26" s="96">
        <v>230</v>
      </c>
    </row>
    <row r="27" spans="1:3" ht="12">
      <c r="A27" s="6"/>
      <c r="B27" s="43"/>
      <c r="C27" s="43"/>
    </row>
    <row r="28" spans="1:3" ht="12">
      <c r="A28" s="9" t="s">
        <v>43</v>
      </c>
      <c r="B28" s="43"/>
      <c r="C28" s="43"/>
    </row>
    <row r="29" spans="1:3" ht="12">
      <c r="A29" s="6"/>
      <c r="B29" s="91"/>
      <c r="C29" s="91"/>
    </row>
    <row r="30" spans="1:3" ht="12">
      <c r="A30" s="6" t="s">
        <v>7</v>
      </c>
      <c r="B30" s="96">
        <v>7.72</v>
      </c>
      <c r="C30" s="96">
        <v>7.12</v>
      </c>
    </row>
    <row r="31" spans="1:3" ht="12">
      <c r="A31" s="6" t="s">
        <v>40</v>
      </c>
      <c r="B31" s="96">
        <v>7.17</v>
      </c>
      <c r="C31" s="96">
        <v>7.67</v>
      </c>
    </row>
    <row r="32" spans="1:3" ht="12">
      <c r="A32" s="6" t="s">
        <v>8</v>
      </c>
      <c r="B32" s="96">
        <v>275</v>
      </c>
      <c r="C32" s="96">
        <v>100</v>
      </c>
    </row>
    <row r="33" spans="1:3" ht="12">
      <c r="A33" s="6" t="s">
        <v>9</v>
      </c>
      <c r="B33" s="43">
        <v>50</v>
      </c>
      <c r="C33" s="43">
        <v>150</v>
      </c>
    </row>
    <row r="34" spans="1:3" ht="12">
      <c r="A34" s="6"/>
      <c r="B34" s="43"/>
      <c r="C34" s="43"/>
    </row>
    <row r="35" spans="1:3" ht="12">
      <c r="A35" s="6"/>
      <c r="B35" s="43"/>
      <c r="C35" s="43"/>
    </row>
    <row r="36" spans="1:3" ht="12">
      <c r="A36" s="6"/>
      <c r="B36" s="43"/>
      <c r="C36" s="43"/>
    </row>
    <row r="37" spans="1:3" ht="12">
      <c r="A37" s="9" t="s">
        <v>44</v>
      </c>
      <c r="B37" s="43">
        <v>5072.76</v>
      </c>
      <c r="C37" s="43">
        <v>4982.76</v>
      </c>
    </row>
    <row r="38" spans="1:3" ht="12">
      <c r="A38" s="6"/>
      <c r="B38" s="43"/>
      <c r="C38" s="43"/>
    </row>
    <row r="39" spans="1:3" ht="12">
      <c r="A39" s="6"/>
      <c r="B39" s="40"/>
      <c r="C39" s="40"/>
    </row>
    <row r="40" spans="1:3" ht="12.75" thickBot="1">
      <c r="A40" s="6"/>
      <c r="B40" s="40"/>
      <c r="C40" s="40"/>
    </row>
    <row r="41" spans="1:3" ht="12.75" thickBot="1">
      <c r="A41" s="3" t="s">
        <v>11</v>
      </c>
      <c r="B41" s="89">
        <v>38748</v>
      </c>
      <c r="C41" s="89">
        <v>38776</v>
      </c>
    </row>
    <row r="42" spans="1:3" ht="12">
      <c r="A42" s="6"/>
      <c r="B42" s="40"/>
      <c r="C42" s="40"/>
    </row>
    <row r="43" spans="1:3" ht="12">
      <c r="A43" s="9" t="s">
        <v>12</v>
      </c>
      <c r="B43" s="40"/>
      <c r="C43" s="40"/>
    </row>
    <row r="44" spans="1:3" ht="12">
      <c r="A44" s="10" t="s">
        <v>137</v>
      </c>
      <c r="B44" s="40"/>
      <c r="C44" s="40"/>
    </row>
    <row r="45" spans="1:3" ht="12">
      <c r="A45" s="6" t="s">
        <v>13</v>
      </c>
      <c r="B45" s="90">
        <v>9.12</v>
      </c>
      <c r="C45" s="90">
        <v>10.5</v>
      </c>
    </row>
    <row r="46" spans="1:3" ht="12">
      <c r="A46" s="6" t="s">
        <v>8</v>
      </c>
      <c r="B46" s="90">
        <v>80</v>
      </c>
      <c r="C46" s="90">
        <v>80</v>
      </c>
    </row>
    <row r="47" spans="1:3" ht="12">
      <c r="A47" s="6" t="s">
        <v>9</v>
      </c>
      <c r="B47" s="90">
        <v>0</v>
      </c>
      <c r="C47" s="90">
        <v>0</v>
      </c>
    </row>
    <row r="48" spans="1:3" ht="12">
      <c r="A48" s="6"/>
      <c r="B48" s="43"/>
      <c r="C48" s="43"/>
    </row>
    <row r="49" spans="1:3" ht="12">
      <c r="A49" s="6" t="s">
        <v>14</v>
      </c>
      <c r="B49" s="96">
        <v>5807.05</v>
      </c>
      <c r="C49" s="96">
        <v>5887.05</v>
      </c>
    </row>
    <row r="50" spans="1:3" ht="12.75" thickBot="1">
      <c r="A50" s="6"/>
      <c r="B50" s="40"/>
      <c r="C50" s="40"/>
    </row>
    <row r="51" spans="1:3" ht="12.75" thickBot="1">
      <c r="A51" s="3" t="s">
        <v>15</v>
      </c>
      <c r="B51" s="89">
        <v>38748</v>
      </c>
      <c r="C51" s="89">
        <v>38776</v>
      </c>
    </row>
    <row r="52" spans="1:3" ht="12">
      <c r="A52" s="6"/>
      <c r="B52" s="40"/>
      <c r="C52" s="40"/>
    </row>
    <row r="53" spans="1:3" ht="12">
      <c r="A53" s="9" t="s">
        <v>16</v>
      </c>
      <c r="B53" s="40"/>
      <c r="C53" s="40"/>
    </row>
    <row r="54" spans="1:3" ht="12">
      <c r="A54" s="6"/>
      <c r="B54" s="40"/>
      <c r="C54" s="40"/>
    </row>
    <row r="55" spans="1:5" ht="12">
      <c r="A55" s="6" t="s">
        <v>17</v>
      </c>
      <c r="B55" s="95">
        <v>15.23</v>
      </c>
      <c r="C55" s="95">
        <v>6.42</v>
      </c>
      <c r="E55" s="11"/>
    </row>
    <row r="56" spans="1:10" ht="12">
      <c r="A56" s="6" t="s">
        <v>18</v>
      </c>
      <c r="B56" s="94">
        <v>299.47</v>
      </c>
      <c r="C56" s="94">
        <v>242.85</v>
      </c>
      <c r="E56" s="11"/>
      <c r="H56" s="12"/>
      <c r="J56" s="12"/>
    </row>
    <row r="57" spans="1:5" ht="12">
      <c r="A57" s="6" t="s">
        <v>19</v>
      </c>
      <c r="B57" s="94">
        <v>633.01</v>
      </c>
      <c r="C57" s="94">
        <v>621.84</v>
      </c>
      <c r="D57" s="14"/>
      <c r="E57" s="13"/>
    </row>
    <row r="58" spans="1:5" ht="12">
      <c r="A58" s="6" t="s">
        <v>20</v>
      </c>
      <c r="B58" s="94">
        <v>835.15</v>
      </c>
      <c r="C58" s="94">
        <v>847.75</v>
      </c>
      <c r="D58" s="14"/>
      <c r="E58" s="13"/>
    </row>
    <row r="59" spans="1:5" ht="12">
      <c r="A59" s="6" t="s">
        <v>21</v>
      </c>
      <c r="B59" s="94">
        <v>360.35</v>
      </c>
      <c r="C59" s="94">
        <v>352.64</v>
      </c>
      <c r="D59" s="13"/>
      <c r="E59" s="13"/>
    </row>
    <row r="60" spans="1:10" ht="12">
      <c r="A60" s="6" t="s">
        <v>22</v>
      </c>
      <c r="B60" s="94">
        <v>393.99</v>
      </c>
      <c r="C60" s="94">
        <v>412.58</v>
      </c>
      <c r="D60" s="14"/>
      <c r="E60" s="13"/>
      <c r="H60" s="12"/>
      <c r="J60" s="12"/>
    </row>
    <row r="61" spans="1:10" ht="12">
      <c r="A61" s="6" t="s">
        <v>23</v>
      </c>
      <c r="B61" s="94">
        <v>26.97</v>
      </c>
      <c r="C61" s="94">
        <v>27.67</v>
      </c>
      <c r="D61" s="14"/>
      <c r="E61" s="13"/>
      <c r="H61" s="12"/>
      <c r="J61" s="12"/>
    </row>
    <row r="62" spans="1:4" ht="12">
      <c r="A62" s="6" t="s">
        <v>24</v>
      </c>
      <c r="B62" s="94">
        <v>52.18</v>
      </c>
      <c r="C62" s="94">
        <v>53.17</v>
      </c>
      <c r="D62" s="14"/>
    </row>
    <row r="63" spans="1:4" ht="12">
      <c r="A63" s="6" t="s">
        <v>25</v>
      </c>
      <c r="B63" s="94">
        <v>1.75</v>
      </c>
      <c r="C63" s="94">
        <v>1.7</v>
      </c>
      <c r="D63" s="14"/>
    </row>
    <row r="64" spans="1:3" ht="12">
      <c r="A64" s="6"/>
      <c r="B64" s="40"/>
      <c r="C64" s="40"/>
    </row>
    <row r="65" spans="1:4" ht="12">
      <c r="A65" s="9" t="s">
        <v>26</v>
      </c>
      <c r="B65" s="40"/>
      <c r="C65" s="40"/>
      <c r="D65" s="14"/>
    </row>
    <row r="66" spans="1:5" ht="12">
      <c r="A66" s="6"/>
      <c r="B66" s="40"/>
      <c r="C66" s="40"/>
      <c r="E66" s="11"/>
    </row>
    <row r="67" spans="1:5" ht="12">
      <c r="A67" s="6" t="s">
        <v>17</v>
      </c>
      <c r="B67" s="43">
        <v>5.71</v>
      </c>
      <c r="C67" s="43">
        <v>5.17</v>
      </c>
      <c r="E67" s="11"/>
    </row>
    <row r="68" spans="1:5" ht="12">
      <c r="A68" s="6" t="s">
        <v>18</v>
      </c>
      <c r="B68" s="43">
        <v>1.97</v>
      </c>
      <c r="C68" s="43">
        <v>1.06</v>
      </c>
      <c r="E68" s="12"/>
    </row>
    <row r="69" spans="1:5" ht="12">
      <c r="A69" s="6" t="s">
        <v>19</v>
      </c>
      <c r="B69" s="43">
        <v>74.44</v>
      </c>
      <c r="C69" s="43">
        <v>77.02</v>
      </c>
      <c r="D69" s="14"/>
      <c r="E69" s="12"/>
    </row>
    <row r="70" spans="1:5" ht="12">
      <c r="A70" s="6" t="s">
        <v>20</v>
      </c>
      <c r="B70" s="96">
        <v>2.72</v>
      </c>
      <c r="C70" s="96">
        <v>2.8</v>
      </c>
      <c r="D70" s="98"/>
      <c r="E70" s="12"/>
    </row>
    <row r="71" spans="1:5" ht="12">
      <c r="A71" s="6" t="s">
        <v>21</v>
      </c>
      <c r="B71" s="43">
        <v>0</v>
      </c>
      <c r="C71" s="43">
        <v>0</v>
      </c>
      <c r="D71" s="14"/>
      <c r="E71" s="12"/>
    </row>
    <row r="72" spans="1:5" ht="12">
      <c r="A72" s="6" t="s">
        <v>22</v>
      </c>
      <c r="B72" s="43">
        <v>2.25</v>
      </c>
      <c r="C72" s="43">
        <v>2.25</v>
      </c>
      <c r="D72" s="98"/>
      <c r="E72" s="12"/>
    </row>
    <row r="73" spans="1:4" ht="12">
      <c r="A73" s="6" t="s">
        <v>23</v>
      </c>
      <c r="B73" s="43">
        <v>0.37</v>
      </c>
      <c r="C73" s="43">
        <v>0.44</v>
      </c>
      <c r="D73" s="14"/>
    </row>
    <row r="74" spans="1:4" ht="12">
      <c r="A74" s="6" t="s">
        <v>24</v>
      </c>
      <c r="B74" s="43">
        <v>0.8</v>
      </c>
      <c r="C74" s="43">
        <v>0.8</v>
      </c>
      <c r="D74" s="14"/>
    </row>
    <row r="75" spans="1:4" ht="12">
      <c r="A75" s="6" t="s">
        <v>25</v>
      </c>
      <c r="B75" s="43">
        <v>0.2</v>
      </c>
      <c r="C75" s="43">
        <v>0.26</v>
      </c>
      <c r="D75" s="99"/>
    </row>
    <row r="76" spans="1:3" ht="12.75" thickBot="1">
      <c r="A76" s="6"/>
      <c r="B76" s="43"/>
      <c r="C76" s="43"/>
    </row>
    <row r="77" spans="1:3" ht="12.75" thickBot="1">
      <c r="A77" s="3" t="s">
        <v>133</v>
      </c>
      <c r="B77" s="89">
        <v>38748</v>
      </c>
      <c r="C77" s="89">
        <v>38776</v>
      </c>
    </row>
    <row r="78" spans="1:3" ht="12">
      <c r="A78" s="6"/>
      <c r="B78" s="40"/>
      <c r="C78" s="40"/>
    </row>
    <row r="79" spans="1:3" ht="12">
      <c r="A79" s="6"/>
      <c r="B79" s="40"/>
      <c r="C79" s="40"/>
    </row>
    <row r="80" spans="1:3" ht="12">
      <c r="A80" s="6" t="s">
        <v>27</v>
      </c>
      <c r="B80" s="91">
        <v>3.6</v>
      </c>
      <c r="C80" s="91">
        <v>3.7</v>
      </c>
    </row>
    <row r="81" spans="1:3" ht="12">
      <c r="A81" s="6" t="s">
        <v>28</v>
      </c>
      <c r="B81" s="91">
        <v>0.9</v>
      </c>
      <c r="C81" s="91">
        <v>1.1</v>
      </c>
    </row>
    <row r="82" spans="1:3" ht="12.75" thickBot="1">
      <c r="A82" s="15" t="s">
        <v>29</v>
      </c>
      <c r="B82" s="101">
        <v>0.9</v>
      </c>
      <c r="C82" s="101">
        <v>0.2</v>
      </c>
    </row>
    <row r="83" ht="12">
      <c r="A83" s="2" t="s">
        <v>134</v>
      </c>
    </row>
  </sheetData>
  <printOptions horizontalCentered="1"/>
  <pageMargins left="0.5" right="0.5" top="0.61" bottom="0.74" header="0.5" footer="0.5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84"/>
  <sheetViews>
    <sheetView showGridLines="0" zoomScale="75" zoomScaleNormal="75" zoomScaleSheetLayoutView="75" workbookViewId="0" topLeftCell="B1">
      <selection activeCell="B4" sqref="A4:P80"/>
    </sheetView>
  </sheetViews>
  <sheetFormatPr defaultColWidth="9.140625" defaultRowHeight="12"/>
  <cols>
    <col min="1" max="1" width="0.13671875" style="0" hidden="1" customWidth="1"/>
  </cols>
  <sheetData>
    <row r="2" spans="5:15" ht="15.75">
      <c r="E2" s="193"/>
      <c r="F2" s="194"/>
      <c r="G2" s="194"/>
      <c r="H2" s="194"/>
      <c r="I2" s="194"/>
      <c r="J2" s="194"/>
      <c r="K2" s="194"/>
      <c r="L2" s="194"/>
      <c r="M2" s="194"/>
      <c r="N2" s="194"/>
      <c r="O2" s="194"/>
    </row>
    <row r="3" spans="3:13" ht="15.75"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</row>
    <row r="4" spans="1:17" ht="15.75">
      <c r="A4" s="20"/>
      <c r="B4" s="20"/>
      <c r="C4" s="192" t="s">
        <v>153</v>
      </c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20"/>
      <c r="O4" s="20"/>
      <c r="P4" s="20"/>
      <c r="Q4" s="20"/>
    </row>
    <row r="5" spans="1:17" ht="1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ht="15.75">
      <c r="A6" s="192"/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20"/>
      <c r="M6" s="20"/>
      <c r="N6" s="20"/>
      <c r="O6" s="20"/>
      <c r="P6" s="20"/>
      <c r="Q6" s="20"/>
    </row>
    <row r="7" spans="1:17" ht="1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1:17" ht="1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ht="1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</row>
    <row r="10" spans="1:17" ht="1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1:17" ht="1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1:17" ht="1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17" ht="1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7" ht="1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ht="1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7" ht="1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7" ht="1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1:17" ht="1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ht="1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 ht="1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7" ht="1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1:17" ht="1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 ht="1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1:17" ht="1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 ht="15">
      <c r="A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ht="15.75">
      <c r="A26" s="20"/>
      <c r="B26" s="184" t="s">
        <v>49</v>
      </c>
      <c r="C26" s="185"/>
      <c r="D26" s="185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 ht="15">
      <c r="A27" s="20"/>
      <c r="B27" s="21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 ht="15">
      <c r="A28" s="20"/>
      <c r="B28" s="21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1:17" ht="15">
      <c r="A29" s="20"/>
      <c r="B29" s="21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</row>
    <row r="30" spans="1:17" ht="15.75">
      <c r="A30" s="192" t="s">
        <v>51</v>
      </c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20"/>
      <c r="M30" s="20"/>
      <c r="N30" s="20"/>
      <c r="O30" s="20"/>
      <c r="P30" s="20"/>
      <c r="Q30" s="20"/>
    </row>
    <row r="31" spans="1:17" ht="1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</row>
    <row r="32" spans="1:17" ht="1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</row>
    <row r="33" spans="1:17" ht="1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</row>
    <row r="34" spans="1:17" ht="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</row>
    <row r="35" spans="1:17" ht="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</row>
    <row r="36" spans="1:17" ht="1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</row>
    <row r="37" spans="1:17" ht="1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</row>
    <row r="38" spans="1:17" ht="1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</row>
    <row r="39" spans="1:17" ht="1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</row>
    <row r="40" spans="1:17" ht="1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</row>
    <row r="41" spans="1:17" ht="1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</row>
    <row r="42" spans="1:17" ht="1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</row>
    <row r="43" spans="1:17" ht="1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</row>
    <row r="44" spans="1:17" ht="1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</row>
    <row r="45" spans="1:17" ht="1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</row>
    <row r="46" spans="1:17" ht="1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</row>
    <row r="47" spans="1:17" ht="15">
      <c r="A47" s="20"/>
      <c r="B47" s="21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</row>
    <row r="48" spans="1:17" ht="1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</row>
    <row r="49" spans="1:17" ht="1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</row>
    <row r="50" spans="1:17" ht="15">
      <c r="A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</row>
    <row r="51" spans="1:17" ht="15">
      <c r="A51" s="20"/>
      <c r="B51" s="21" t="s">
        <v>50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</row>
    <row r="52" spans="1:17" ht="15">
      <c r="A52" s="20"/>
      <c r="B52" s="21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</row>
    <row r="53" spans="1:17" ht="15">
      <c r="A53" s="20"/>
      <c r="B53" s="21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</row>
    <row r="54" spans="1:17" ht="15">
      <c r="A54" s="20"/>
      <c r="B54" s="21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</row>
    <row r="55" spans="1:17" ht="15.75">
      <c r="A55" s="192" t="s">
        <v>149</v>
      </c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20"/>
      <c r="M55" s="20"/>
      <c r="N55" s="20"/>
      <c r="O55" s="20"/>
      <c r="P55" s="20"/>
      <c r="Q55" s="20"/>
    </row>
    <row r="56" spans="1:17" ht="1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</row>
    <row r="57" spans="1:17" ht="1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</row>
    <row r="58" spans="1:17" ht="1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</row>
    <row r="59" spans="1:17" ht="1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</row>
    <row r="60" spans="1:17" ht="1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</row>
    <row r="61" spans="1:17" ht="1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</row>
    <row r="62" spans="1:17" ht="1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</row>
    <row r="63" spans="1:17" ht="1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</row>
    <row r="64" spans="1:17" ht="1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</row>
    <row r="65" spans="1:17" ht="1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</row>
    <row r="66" spans="1:17" ht="1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</row>
    <row r="67" spans="1:17" ht="1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</row>
    <row r="68" spans="1:17" ht="1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</row>
    <row r="69" spans="1:17" ht="1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</row>
    <row r="70" spans="1:17" ht="1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</row>
    <row r="71" spans="1:17" ht="1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</row>
    <row r="72" spans="1:17" ht="1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</row>
    <row r="73" spans="1:17" ht="1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</row>
    <row r="74" spans="1:17" ht="15">
      <c r="A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</row>
    <row r="75" ht="15">
      <c r="B75" s="21"/>
    </row>
    <row r="78" ht="15">
      <c r="B78" s="21"/>
    </row>
    <row r="79" spans="3:6" ht="15.75">
      <c r="C79" s="184" t="s">
        <v>125</v>
      </c>
      <c r="D79" s="186"/>
      <c r="E79" s="186"/>
      <c r="F79" s="186"/>
    </row>
    <row r="84" ht="15">
      <c r="C84" s="21"/>
    </row>
  </sheetData>
  <mergeCells count="6">
    <mergeCell ref="A6:K6"/>
    <mergeCell ref="A30:K30"/>
    <mergeCell ref="A55:K55"/>
    <mergeCell ref="E2:O2"/>
    <mergeCell ref="C4:M4"/>
    <mergeCell ref="C3:M3"/>
  </mergeCells>
  <printOptions horizontalCentered="1"/>
  <pageMargins left="0.17" right="0.6" top="0.42" bottom="0.5" header="0.44" footer="0.5"/>
  <pageSetup fitToHeight="1" fitToWidth="1" horizontalDpi="600" verticalDpi="6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M21"/>
  <sheetViews>
    <sheetView showGridLines="0" zoomScaleSheetLayoutView="75" workbookViewId="0" topLeftCell="A1">
      <selection activeCell="B2" sqref="B2:AM21"/>
    </sheetView>
  </sheetViews>
  <sheetFormatPr defaultColWidth="9.140625" defaultRowHeight="19.5" customHeight="1"/>
  <cols>
    <col min="1" max="1" width="4.7109375" style="41" customWidth="1"/>
    <col min="2" max="2" width="57.7109375" style="41" customWidth="1"/>
    <col min="3" max="7" width="9.8515625" style="41" hidden="1" customWidth="1"/>
    <col min="8" max="8" width="11.28125" style="41" hidden="1" customWidth="1"/>
    <col min="9" max="9" width="11.8515625" style="41" hidden="1" customWidth="1"/>
    <col min="10" max="11" width="9.8515625" style="41" hidden="1" customWidth="1"/>
    <col min="12" max="12" width="11.140625" style="41" hidden="1" customWidth="1"/>
    <col min="13" max="13" width="11.421875" style="41" hidden="1" customWidth="1"/>
    <col min="14" max="14" width="11.00390625" style="41" hidden="1" customWidth="1"/>
    <col min="15" max="15" width="10.140625" style="41" hidden="1" customWidth="1"/>
    <col min="16" max="16" width="9.8515625" style="41" hidden="1" customWidth="1"/>
    <col min="17" max="17" width="11.28125" style="41" hidden="1" customWidth="1"/>
    <col min="18" max="18" width="10.7109375" style="41" hidden="1" customWidth="1"/>
    <col min="19" max="19" width="11.00390625" style="41" hidden="1" customWidth="1"/>
    <col min="20" max="20" width="14.7109375" style="41" hidden="1" customWidth="1"/>
    <col min="21" max="21" width="2.00390625" style="41" hidden="1" customWidth="1"/>
    <col min="22" max="22" width="10.421875" style="41" hidden="1" customWidth="1"/>
    <col min="23" max="23" width="9.8515625" style="41" hidden="1" customWidth="1"/>
    <col min="24" max="24" width="9.421875" style="41" hidden="1" customWidth="1"/>
    <col min="25" max="25" width="11.28125" style="41" hidden="1" customWidth="1"/>
    <col min="26" max="26" width="18.28125" style="41" customWidth="1"/>
    <col min="27" max="27" width="10.8515625" style="41" customWidth="1"/>
    <col min="28" max="28" width="11.00390625" style="41" customWidth="1"/>
    <col min="29" max="29" width="11.7109375" style="41" customWidth="1"/>
    <col min="30" max="30" width="12.00390625" style="41" customWidth="1"/>
    <col min="31" max="31" width="11.7109375" style="41" customWidth="1"/>
    <col min="32" max="32" width="11.8515625" style="41" customWidth="1"/>
    <col min="33" max="33" width="12.140625" style="41" customWidth="1"/>
    <col min="34" max="34" width="11.421875" style="41" customWidth="1"/>
    <col min="35" max="35" width="11.140625" style="41" customWidth="1"/>
    <col min="36" max="36" width="10.8515625" style="41" customWidth="1"/>
    <col min="37" max="39" width="10.421875" style="41" customWidth="1"/>
    <col min="40" max="16384" width="9.140625" style="41" customWidth="1"/>
  </cols>
  <sheetData>
    <row r="1" ht="19.5" customHeight="1" thickBot="1"/>
    <row r="2" spans="2:39" ht="19.5" customHeight="1">
      <c r="B2" s="132" t="s">
        <v>131</v>
      </c>
      <c r="C2" s="133"/>
      <c r="D2" s="133"/>
      <c r="E2" s="133"/>
      <c r="F2" s="134"/>
      <c r="G2" s="135"/>
      <c r="H2" s="134"/>
      <c r="I2" s="135"/>
      <c r="J2" s="135"/>
      <c r="K2" s="134"/>
      <c r="L2" s="134"/>
      <c r="M2" s="136"/>
      <c r="N2" s="135"/>
      <c r="O2" s="137"/>
      <c r="P2" s="135"/>
      <c r="Q2" s="134"/>
      <c r="R2" s="135"/>
      <c r="S2" s="135"/>
      <c r="T2" s="138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</row>
    <row r="3" spans="2:39" ht="19.5" customHeight="1">
      <c r="B3" s="139"/>
      <c r="C3" s="139"/>
      <c r="D3" s="139"/>
      <c r="E3" s="139"/>
      <c r="F3" s="140"/>
      <c r="G3" s="140"/>
      <c r="H3" s="140"/>
      <c r="I3" s="141"/>
      <c r="J3" s="141"/>
      <c r="K3" s="140"/>
      <c r="L3" s="140"/>
      <c r="M3" s="142"/>
      <c r="N3" s="141"/>
      <c r="O3" s="143"/>
      <c r="P3" s="141"/>
      <c r="Q3" s="140"/>
      <c r="R3" s="141"/>
      <c r="S3" s="141"/>
      <c r="T3" s="144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</row>
    <row r="4" spans="2:39" ht="19.5" customHeight="1">
      <c r="B4" s="145"/>
      <c r="C4" s="146">
        <v>37655</v>
      </c>
      <c r="D4" s="146">
        <v>37681</v>
      </c>
      <c r="E4" s="146">
        <v>37712</v>
      </c>
      <c r="F4" s="146">
        <v>37742</v>
      </c>
      <c r="G4" s="146">
        <v>37773</v>
      </c>
      <c r="H4" s="146">
        <v>37803</v>
      </c>
      <c r="I4" s="146">
        <v>37834</v>
      </c>
      <c r="J4" s="146">
        <v>37865</v>
      </c>
      <c r="K4" s="146">
        <v>37895</v>
      </c>
      <c r="L4" s="146">
        <v>37926</v>
      </c>
      <c r="M4" s="146">
        <v>37956</v>
      </c>
      <c r="N4" s="146">
        <v>37987</v>
      </c>
      <c r="O4" s="147">
        <v>38018</v>
      </c>
      <c r="P4" s="146">
        <v>38047</v>
      </c>
      <c r="Q4" s="146">
        <v>38078</v>
      </c>
      <c r="R4" s="146">
        <v>38108</v>
      </c>
      <c r="S4" s="146">
        <v>38139</v>
      </c>
      <c r="T4" s="146">
        <v>38169</v>
      </c>
      <c r="U4" s="146">
        <v>38200</v>
      </c>
      <c r="V4" s="146">
        <v>38231</v>
      </c>
      <c r="W4" s="146">
        <v>38261</v>
      </c>
      <c r="X4" s="146">
        <v>38292</v>
      </c>
      <c r="Y4" s="146">
        <v>38322</v>
      </c>
      <c r="Z4" s="146">
        <v>38353</v>
      </c>
      <c r="AA4" s="146">
        <v>38384</v>
      </c>
      <c r="AB4" s="146">
        <v>38412</v>
      </c>
      <c r="AC4" s="146">
        <v>38443</v>
      </c>
      <c r="AD4" s="146">
        <v>38473</v>
      </c>
      <c r="AE4" s="146">
        <v>38504</v>
      </c>
      <c r="AF4" s="146">
        <v>38534</v>
      </c>
      <c r="AG4" s="146">
        <v>38565</v>
      </c>
      <c r="AH4" s="146">
        <v>38596</v>
      </c>
      <c r="AI4" s="146">
        <v>38626</v>
      </c>
      <c r="AJ4" s="146">
        <v>38657</v>
      </c>
      <c r="AK4" s="146">
        <v>38687</v>
      </c>
      <c r="AL4" s="146">
        <v>38718</v>
      </c>
      <c r="AM4" s="146">
        <v>38749</v>
      </c>
    </row>
    <row r="5" spans="1:39" ht="19.5" customHeight="1">
      <c r="A5" s="182"/>
      <c r="B5" s="148" t="s">
        <v>152</v>
      </c>
      <c r="C5" s="149"/>
      <c r="D5" s="149"/>
      <c r="E5" s="150"/>
      <c r="F5" s="151"/>
      <c r="G5" s="151"/>
      <c r="H5" s="151"/>
      <c r="I5" s="151"/>
      <c r="J5" s="151"/>
      <c r="K5" s="151"/>
      <c r="L5" s="151"/>
      <c r="M5" s="152"/>
      <c r="N5" s="151"/>
      <c r="O5" s="153"/>
      <c r="P5" s="154"/>
      <c r="Q5" s="151"/>
      <c r="R5" s="154"/>
      <c r="S5" s="154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</row>
    <row r="6" spans="1:39" ht="19.5" customHeight="1">
      <c r="A6" s="183"/>
      <c r="B6" s="148"/>
      <c r="C6" s="149"/>
      <c r="D6" s="149"/>
      <c r="E6" s="150"/>
      <c r="F6" s="151"/>
      <c r="G6" s="151"/>
      <c r="H6" s="151"/>
      <c r="I6" s="151"/>
      <c r="J6" s="151"/>
      <c r="K6" s="151"/>
      <c r="L6" s="151"/>
      <c r="M6" s="152"/>
      <c r="N6" s="151"/>
      <c r="O6" s="153"/>
      <c r="P6" s="154"/>
      <c r="Q6" s="151"/>
      <c r="R6" s="154"/>
      <c r="S6" s="154"/>
      <c r="T6" s="155"/>
      <c r="U6" s="154"/>
      <c r="V6" s="154"/>
      <c r="W6" s="154"/>
      <c r="X6" s="154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</row>
    <row r="7" spans="2:39" ht="19.5" customHeight="1">
      <c r="B7" s="148" t="s">
        <v>30</v>
      </c>
      <c r="C7" s="156">
        <v>2595.44027685</v>
      </c>
      <c r="D7" s="156">
        <v>2187.8368766900003</v>
      </c>
      <c r="E7" s="156">
        <v>2272.4872471500003</v>
      </c>
      <c r="F7" s="157">
        <v>2113.36340838</v>
      </c>
      <c r="G7" s="157">
        <v>2165.8</v>
      </c>
      <c r="H7" s="158">
        <v>2129.6</v>
      </c>
      <c r="I7" s="151">
        <v>1891</v>
      </c>
      <c r="J7" s="157">
        <v>2181.2</v>
      </c>
      <c r="K7" s="157">
        <v>2467.9</v>
      </c>
      <c r="L7" s="157">
        <v>2091</v>
      </c>
      <c r="M7" s="159">
        <v>2110.3</v>
      </c>
      <c r="N7" s="157">
        <v>2710.8702829799995</v>
      </c>
      <c r="O7" s="160">
        <v>1935.4129830699999</v>
      </c>
      <c r="P7" s="161">
        <v>1824.1042653499997</v>
      </c>
      <c r="Q7" s="151">
        <v>2395.6</v>
      </c>
      <c r="R7" s="151">
        <v>1860.4</v>
      </c>
      <c r="S7" s="151">
        <v>1783.2</v>
      </c>
      <c r="T7" s="151">
        <v>1984.6</v>
      </c>
      <c r="U7" s="151">
        <v>1989.9</v>
      </c>
      <c r="V7" s="151">
        <v>1808.2</v>
      </c>
      <c r="W7" s="151">
        <v>2207.6</v>
      </c>
      <c r="X7" s="151">
        <v>1987.9</v>
      </c>
      <c r="Y7" s="151">
        <v>1977.3</v>
      </c>
      <c r="Z7" s="151">
        <v>2327.5</v>
      </c>
      <c r="AA7" s="151">
        <v>2029.5</v>
      </c>
      <c r="AB7" s="151">
        <v>1912.6</v>
      </c>
      <c r="AC7" s="151">
        <v>2303.8</v>
      </c>
      <c r="AD7" s="151">
        <v>2107.1</v>
      </c>
      <c r="AE7" s="151">
        <v>1874.1</v>
      </c>
      <c r="AF7" s="151">
        <v>2354.7</v>
      </c>
      <c r="AG7" s="151">
        <v>2159.1</v>
      </c>
      <c r="AH7" s="151">
        <v>1818.2</v>
      </c>
      <c r="AI7" s="157">
        <v>2245</v>
      </c>
      <c r="AJ7" s="157">
        <v>1902.22246</v>
      </c>
      <c r="AK7" s="157">
        <v>1983.9</v>
      </c>
      <c r="AL7" s="157">
        <v>2705.5</v>
      </c>
      <c r="AM7" s="157">
        <v>2696</v>
      </c>
    </row>
    <row r="8" spans="2:39" ht="19.5" customHeight="1">
      <c r="B8" s="148" t="s">
        <v>31</v>
      </c>
      <c r="C8" s="162"/>
      <c r="D8" s="162">
        <f>D7-C7</f>
        <v>-407.60340015999964</v>
      </c>
      <c r="E8" s="162">
        <f>E7-D7</f>
        <v>84.65037045999998</v>
      </c>
      <c r="F8" s="162">
        <f>F7-E7</f>
        <v>-159.12383877000048</v>
      </c>
      <c r="G8" s="162">
        <f aca="true" t="shared" si="0" ref="G8:AG8">G7-F7</f>
        <v>52.4365916200004</v>
      </c>
      <c r="H8" s="162">
        <f t="shared" si="0"/>
        <v>-36.20000000000027</v>
      </c>
      <c r="I8" s="162">
        <f t="shared" si="0"/>
        <v>-238.5999999999999</v>
      </c>
      <c r="J8" s="162">
        <f t="shared" si="0"/>
        <v>290.1999999999998</v>
      </c>
      <c r="K8" s="162">
        <f t="shared" si="0"/>
        <v>286.7000000000003</v>
      </c>
      <c r="L8" s="162">
        <f t="shared" si="0"/>
        <v>-376.9000000000001</v>
      </c>
      <c r="M8" s="162">
        <f t="shared" si="0"/>
        <v>19.300000000000182</v>
      </c>
      <c r="N8" s="162">
        <f t="shared" si="0"/>
        <v>600.5702829799993</v>
      </c>
      <c r="O8" s="163">
        <f t="shared" si="0"/>
        <v>-775.4572999099996</v>
      </c>
      <c r="P8" s="158">
        <f t="shared" si="0"/>
        <v>-111.30871772000023</v>
      </c>
      <c r="Q8" s="158">
        <f t="shared" si="0"/>
        <v>571.4957346500003</v>
      </c>
      <c r="R8" s="158">
        <f t="shared" si="0"/>
        <v>-535.1999999999998</v>
      </c>
      <c r="S8" s="158">
        <f t="shared" si="0"/>
        <v>-77.20000000000005</v>
      </c>
      <c r="T8" s="158">
        <f t="shared" si="0"/>
        <v>201.39999999999986</v>
      </c>
      <c r="U8" s="158">
        <f t="shared" si="0"/>
        <v>5.300000000000182</v>
      </c>
      <c r="V8" s="158">
        <f t="shared" si="0"/>
        <v>-181.70000000000005</v>
      </c>
      <c r="W8" s="158">
        <f t="shared" si="0"/>
        <v>399.39999999999986</v>
      </c>
      <c r="X8" s="158">
        <f t="shared" si="0"/>
        <v>-219.69999999999982</v>
      </c>
      <c r="Y8" s="158">
        <f t="shared" si="0"/>
        <v>-10.600000000000136</v>
      </c>
      <c r="Z8" s="158">
        <f t="shared" si="0"/>
        <v>350.20000000000005</v>
      </c>
      <c r="AA8" s="158">
        <f t="shared" si="0"/>
        <v>-298</v>
      </c>
      <c r="AB8" s="158">
        <f t="shared" si="0"/>
        <v>-116.90000000000009</v>
      </c>
      <c r="AC8" s="158">
        <f t="shared" si="0"/>
        <v>391.2000000000003</v>
      </c>
      <c r="AD8" s="158">
        <f t="shared" si="0"/>
        <v>-196.70000000000027</v>
      </c>
      <c r="AE8" s="158">
        <f t="shared" si="0"/>
        <v>-233</v>
      </c>
      <c r="AF8" s="158">
        <f t="shared" si="0"/>
        <v>480.5999999999999</v>
      </c>
      <c r="AG8" s="158">
        <f t="shared" si="0"/>
        <v>-195.5999999999999</v>
      </c>
      <c r="AH8" s="158">
        <f aca="true" t="shared" si="1" ref="AH8:AM8">AH7-AG7</f>
        <v>-340.89999999999986</v>
      </c>
      <c r="AI8" s="158">
        <f t="shared" si="1"/>
        <v>426.79999999999995</v>
      </c>
      <c r="AJ8" s="158">
        <f t="shared" si="1"/>
        <v>-342.77754000000004</v>
      </c>
      <c r="AK8" s="158">
        <f t="shared" si="1"/>
        <v>81.67754000000014</v>
      </c>
      <c r="AL8" s="158">
        <f t="shared" si="1"/>
        <v>721.5999999999999</v>
      </c>
      <c r="AM8" s="158">
        <f t="shared" si="1"/>
        <v>-9.5</v>
      </c>
    </row>
    <row r="9" spans="2:39" ht="19.5" customHeight="1">
      <c r="B9" s="148"/>
      <c r="C9" s="149"/>
      <c r="D9" s="149"/>
      <c r="E9" s="149"/>
      <c r="F9" s="151"/>
      <c r="G9" s="151"/>
      <c r="H9" s="151"/>
      <c r="I9" s="151"/>
      <c r="J9" s="151"/>
      <c r="K9" s="151"/>
      <c r="L9" s="151"/>
      <c r="M9" s="152"/>
      <c r="N9" s="151"/>
      <c r="O9" s="153"/>
      <c r="P9" s="154"/>
      <c r="Q9" s="151"/>
      <c r="R9" s="154"/>
      <c r="S9" s="154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</row>
    <row r="10" spans="2:39" ht="19.5" customHeight="1">
      <c r="B10" s="148" t="s">
        <v>45</v>
      </c>
      <c r="C10" s="149"/>
      <c r="D10" s="149"/>
      <c r="E10" s="149"/>
      <c r="F10" s="151"/>
      <c r="G10" s="151"/>
      <c r="H10" s="151"/>
      <c r="I10" s="151"/>
      <c r="J10" s="151"/>
      <c r="K10" s="151"/>
      <c r="L10" s="151"/>
      <c r="M10" s="152"/>
      <c r="N10" s="151"/>
      <c r="O10" s="153"/>
      <c r="P10" s="154"/>
      <c r="Q10" s="151"/>
      <c r="R10" s="154"/>
      <c r="S10" s="154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</row>
    <row r="11" spans="2:39" ht="19.5" customHeight="1">
      <c r="B11" s="148"/>
      <c r="C11" s="149"/>
      <c r="D11" s="149"/>
      <c r="E11" s="149"/>
      <c r="F11" s="151"/>
      <c r="G11" s="151"/>
      <c r="H11" s="151"/>
      <c r="I11" s="151"/>
      <c r="J11" s="151"/>
      <c r="K11" s="151"/>
      <c r="L11" s="151"/>
      <c r="M11" s="152"/>
      <c r="N11" s="151"/>
      <c r="O11" s="153"/>
      <c r="P11" s="154"/>
      <c r="Q11" s="151"/>
      <c r="R11" s="154"/>
      <c r="S11" s="154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</row>
    <row r="12" spans="2:39" ht="19.5" customHeight="1">
      <c r="B12" s="148" t="s">
        <v>32</v>
      </c>
      <c r="C12" s="149"/>
      <c r="D12" s="149">
        <v>8.0439</v>
      </c>
      <c r="E12" s="149">
        <v>7.7068</v>
      </c>
      <c r="F12" s="164">
        <v>7.6652</v>
      </c>
      <c r="G12" s="164">
        <v>7.9027</v>
      </c>
      <c r="H12" s="164">
        <v>7.5401</v>
      </c>
      <c r="I12" s="151">
        <v>7.3922</v>
      </c>
      <c r="J12" s="151">
        <v>7.3246</v>
      </c>
      <c r="K12" s="151">
        <v>6.9637</v>
      </c>
      <c r="L12" s="151">
        <v>6.7287</v>
      </c>
      <c r="M12" s="152">
        <v>6.5159</v>
      </c>
      <c r="N12" s="151">
        <v>6.9179</v>
      </c>
      <c r="O12" s="152">
        <v>6.7686</v>
      </c>
      <c r="P12" s="151">
        <v>6.6633</v>
      </c>
      <c r="Q12" s="151">
        <v>6.5537</v>
      </c>
      <c r="R12" s="151">
        <v>6.7821</v>
      </c>
      <c r="S12" s="151">
        <v>6.4381</v>
      </c>
      <c r="T12" s="165">
        <v>6.1287</v>
      </c>
      <c r="U12" s="151">
        <v>6.4575</v>
      </c>
      <c r="V12" s="151">
        <v>6.5469</v>
      </c>
      <c r="W12" s="151">
        <v>6.3876</v>
      </c>
      <c r="X12" s="151">
        <v>6.0558</v>
      </c>
      <c r="Y12" s="151">
        <v>5.7323</v>
      </c>
      <c r="Z12" s="151">
        <v>5.9698</v>
      </c>
      <c r="AA12" s="151">
        <v>6.0161</v>
      </c>
      <c r="AB12" s="151">
        <v>6.323</v>
      </c>
      <c r="AC12" s="151">
        <v>6.1521</v>
      </c>
      <c r="AD12" s="151">
        <v>6.3314</v>
      </c>
      <c r="AE12" s="165">
        <v>6.75</v>
      </c>
      <c r="AF12" s="165">
        <v>6.7035</v>
      </c>
      <c r="AG12" s="165">
        <v>6.465</v>
      </c>
      <c r="AH12" s="165">
        <v>6.3578</v>
      </c>
      <c r="AI12" s="165">
        <v>6.5766</v>
      </c>
      <c r="AJ12" s="165">
        <v>6.521</v>
      </c>
      <c r="AK12" s="165">
        <v>6.3591</v>
      </c>
      <c r="AL12" s="165">
        <v>6.0891</v>
      </c>
      <c r="AM12" s="165">
        <v>6.1177</v>
      </c>
    </row>
    <row r="13" spans="2:39" ht="19.5" customHeight="1">
      <c r="B13" s="148" t="s">
        <v>33</v>
      </c>
      <c r="C13" s="166"/>
      <c r="D13" s="166">
        <f>1/8.0439</f>
        <v>0.124317806039359</v>
      </c>
      <c r="E13" s="166">
        <f>1/7.7068</f>
        <v>0.12975554056158198</v>
      </c>
      <c r="F13" s="167">
        <f>1/7.6652</f>
        <v>0.13045974012419767</v>
      </c>
      <c r="G13" s="167">
        <f>1/7.9027</f>
        <v>0.12653903096410088</v>
      </c>
      <c r="H13" s="167">
        <f>1/7.5401</f>
        <v>0.1326242357528415</v>
      </c>
      <c r="I13" s="167">
        <f>1/7.3922</f>
        <v>0.13527772516977354</v>
      </c>
      <c r="J13" s="167">
        <f>1/7.3246</f>
        <v>0.1365262266881468</v>
      </c>
      <c r="K13" s="167">
        <f>1/6.9637</f>
        <v>0.14360182087108864</v>
      </c>
      <c r="L13" s="167">
        <f>1/6.7287</f>
        <v>0.14861711771961894</v>
      </c>
      <c r="M13" s="167">
        <f>1/6.5159</f>
        <v>0.15347074080326586</v>
      </c>
      <c r="N13" s="167">
        <f>1/6.9179</f>
        <v>0.14455253761979792</v>
      </c>
      <c r="O13" s="168">
        <f>1/6.7686</f>
        <v>0.14774103950595396</v>
      </c>
      <c r="P13" s="167">
        <f>1/6.6633</f>
        <v>0.1500757882730779</v>
      </c>
      <c r="Q13" s="167">
        <f>1/6.5537</f>
        <v>0.15258556235409004</v>
      </c>
      <c r="R13" s="167">
        <f>1/6.7821</f>
        <v>0.14744695595759427</v>
      </c>
      <c r="S13" s="167">
        <f>1/6.4381</f>
        <v>0.15532532890138395</v>
      </c>
      <c r="T13" s="167">
        <f>1/6.1287</f>
        <v>0.1631667400916997</v>
      </c>
      <c r="U13" s="167">
        <f>1/6.4575</f>
        <v>0.1548586914440573</v>
      </c>
      <c r="V13" s="167">
        <f>1/6.5469</f>
        <v>0.15274404680077594</v>
      </c>
      <c r="W13" s="167">
        <f>1/6.3876</f>
        <v>0.15655332206149414</v>
      </c>
      <c r="X13" s="167">
        <f>1/6.0558</f>
        <v>0.16513094884243207</v>
      </c>
      <c r="Y13" s="167">
        <f>1/5.7323</f>
        <v>0.17445004622926225</v>
      </c>
      <c r="Z13" s="167">
        <f>1/5.9698</f>
        <v>0.1675097993232604</v>
      </c>
      <c r="AA13" s="167">
        <f>1/6.0161</f>
        <v>0.16622064127923405</v>
      </c>
      <c r="AB13" s="167">
        <f>1/6.0101</f>
        <v>0.16638658258598024</v>
      </c>
      <c r="AC13" s="167">
        <f>1/6.1521</f>
        <v>0.16254612246224867</v>
      </c>
      <c r="AD13" s="167">
        <f>1/6.3314</f>
        <v>0.1579429510060966</v>
      </c>
      <c r="AE13" s="167">
        <f>1/6.75</f>
        <v>0.14814814814814814</v>
      </c>
      <c r="AF13" s="167">
        <f>1/6.7035</f>
        <v>0.14917580368464234</v>
      </c>
      <c r="AG13" s="167">
        <f>1/6.465</f>
        <v>0.15467904098994587</v>
      </c>
      <c r="AH13" s="167">
        <f>1/6.3578</f>
        <v>0.1572871118940514</v>
      </c>
      <c r="AI13" s="167">
        <f>1/6.5766</f>
        <v>0.15205425295745523</v>
      </c>
      <c r="AJ13" s="167">
        <f>1/6.521</f>
        <v>0.15335071308081583</v>
      </c>
      <c r="AK13" s="167">
        <f>1/6.3591</f>
        <v>0.157254957462534</v>
      </c>
      <c r="AL13" s="167">
        <f>1/6.0891</f>
        <v>0.1642278826099095</v>
      </c>
      <c r="AM13" s="167">
        <f>1/6.1177</f>
        <v>0.16346012390277392</v>
      </c>
    </row>
    <row r="14" spans="2:39" ht="19.5" customHeight="1">
      <c r="B14" s="148" t="s">
        <v>34</v>
      </c>
      <c r="C14" s="149"/>
      <c r="D14" s="149"/>
      <c r="E14" s="149"/>
      <c r="F14" s="164"/>
      <c r="G14" s="164"/>
      <c r="H14" s="164"/>
      <c r="I14" s="151"/>
      <c r="J14" s="151"/>
      <c r="K14" s="151"/>
      <c r="L14" s="151"/>
      <c r="M14" s="152"/>
      <c r="N14" s="151"/>
      <c r="O14" s="153"/>
      <c r="P14" s="154"/>
      <c r="Q14" s="151"/>
      <c r="R14" s="154"/>
      <c r="S14" s="154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</row>
    <row r="15" spans="2:39" ht="19.5" customHeight="1">
      <c r="B15" s="148" t="s">
        <v>35</v>
      </c>
      <c r="C15" s="166"/>
      <c r="D15" s="166">
        <f>1/12.7437</f>
        <v>0.07847014603294176</v>
      </c>
      <c r="E15" s="166">
        <f>1/12.124</f>
        <v>0.08248102936324644</v>
      </c>
      <c r="F15" s="167">
        <f>1/12.4393</f>
        <v>0.08039037566422548</v>
      </c>
      <c r="G15" s="167">
        <f>1/13.1219</f>
        <v>0.07620847590669035</v>
      </c>
      <c r="H15" s="167">
        <f>1/12.26</f>
        <v>0.08156606851549755</v>
      </c>
      <c r="I15" s="167">
        <f>1/11.7868</f>
        <v>0.08484066922319884</v>
      </c>
      <c r="J15" s="167">
        <f>1/11.702</f>
        <v>0.08545547769612032</v>
      </c>
      <c r="K15" s="167">
        <f>1/11.6744</f>
        <v>0.08565750702391557</v>
      </c>
      <c r="L15" s="167">
        <f>1/11.3692</f>
        <v>0.08795693628399535</v>
      </c>
      <c r="M15" s="167">
        <f>1/11.3073</f>
        <v>0.08843844242215207</v>
      </c>
      <c r="N15" s="167">
        <f>1/12.5935</f>
        <v>0.07940604279985707</v>
      </c>
      <c r="O15" s="168">
        <f>1/12.6411</f>
        <v>0.07910703973546607</v>
      </c>
      <c r="P15" s="167">
        <f>1/12.1204</f>
        <v>0.08250552787036732</v>
      </c>
      <c r="Q15" s="167">
        <f>1/11.8224</f>
        <v>0.08458519420760591</v>
      </c>
      <c r="R15" s="167">
        <f>1/12.1262</f>
        <v>0.08246606521416437</v>
      </c>
      <c r="S15" s="167">
        <f>1/11.7619</f>
        <v>0.08502027733614466</v>
      </c>
      <c r="T15" s="167">
        <f>1/11.2923</f>
        <v>0.08855591863482197</v>
      </c>
      <c r="U15" s="167">
        <f>1/11.7446</f>
        <v>0.08514551368288405</v>
      </c>
      <c r="V15" s="167">
        <f>1/11.736</f>
        <v>0.08520790729379686</v>
      </c>
      <c r="W15" s="167">
        <f>1/11.5461</f>
        <v>0.08660933128935312</v>
      </c>
      <c r="X15" s="167">
        <f>1/11.2483</f>
        <v>0.08890232301770044</v>
      </c>
      <c r="Y15" s="167">
        <f>1/11.601</f>
        <v>0.0861994655633135</v>
      </c>
      <c r="Z15" s="167">
        <f>1/11.2168</f>
        <v>0.08915198630625491</v>
      </c>
      <c r="AA15" s="167">
        <f>1/11.3535</f>
        <v>0.08807856608094419</v>
      </c>
      <c r="AB15" s="167">
        <f>1/11.8847</f>
        <v>0.08414179575420498</v>
      </c>
      <c r="AC15" s="167">
        <f>1/11.6567</f>
        <v>0.08578757281220242</v>
      </c>
      <c r="AD15" s="167">
        <f>1/11.7446</f>
        <v>0.08514551368288405</v>
      </c>
      <c r="AE15" s="167">
        <f>1/12.282</f>
        <v>0.08141996417521576</v>
      </c>
      <c r="AF15" s="167">
        <f>1/11.7407</f>
        <v>0.08517379713304998</v>
      </c>
      <c r="AG15" s="167">
        <f>1/11.5992</f>
        <v>0.0862128422649838</v>
      </c>
      <c r="AH15" s="167">
        <f>1/11.4978</f>
        <v>0.08697316008279846</v>
      </c>
      <c r="AI15" s="167">
        <f>1/11.5989</f>
        <v>0.08621507211890782</v>
      </c>
      <c r="AJ15" s="167">
        <f>1/11.2213</f>
        <v>0.08911623430440324</v>
      </c>
      <c r="AK15" s="167">
        <f>1/11.1059</f>
        <v>0.0900422298057789</v>
      </c>
      <c r="AL15" s="167">
        <f>1/10.7529</f>
        <v>0.09299816793609166</v>
      </c>
      <c r="AM15" s="167">
        <f>1/10.6948</f>
        <v>0.09350338482253057</v>
      </c>
    </row>
    <row r="16" spans="2:39" ht="19.5" customHeight="1">
      <c r="B16" s="148" t="s">
        <v>36</v>
      </c>
      <c r="C16" s="166"/>
      <c r="D16" s="166">
        <f>1/0.0679</f>
        <v>14.727540500736376</v>
      </c>
      <c r="E16" s="166">
        <f>1/0.0642</f>
        <v>15.576323987538942</v>
      </c>
      <c r="F16" s="167">
        <f>1/0.0654</f>
        <v>15.290519877675841</v>
      </c>
      <c r="G16" s="167">
        <f>1/0.0668</f>
        <v>14.970059880239521</v>
      </c>
      <c r="H16" s="167">
        <f>1/0.0636</f>
        <v>15.723270440251572</v>
      </c>
      <c r="I16" s="167">
        <f>1/0.0622</f>
        <v>16.077170418006432</v>
      </c>
      <c r="J16" s="167">
        <f>1/0.0636</f>
        <v>15.723270440251572</v>
      </c>
      <c r="K16" s="167">
        <f>1/0.0636</f>
        <v>15.723270440251572</v>
      </c>
      <c r="L16" s="167">
        <f>1/0.0616</f>
        <v>16.233766233766232</v>
      </c>
      <c r="M16" s="167">
        <f>1/0.0604</f>
        <v>16.556291390728475</v>
      </c>
      <c r="N16" s="167">
        <f>1/0.065</f>
        <v>15.384615384615383</v>
      </c>
      <c r="O16" s="168">
        <f>1/0.0695</f>
        <v>14.388489208633093</v>
      </c>
      <c r="P16" s="167">
        <f>1/0.0611</f>
        <v>16.366612111292962</v>
      </c>
      <c r="Q16" s="167">
        <f>1/0.061</f>
        <v>16.39344262295082</v>
      </c>
      <c r="R16" s="167">
        <f>1/0.0606</f>
        <v>16.5016501650165</v>
      </c>
      <c r="S16" s="167">
        <f>1/0.0588</f>
        <v>17.006802721088437</v>
      </c>
      <c r="T16" s="167">
        <f>1/0.0561</f>
        <v>17.825311942959004</v>
      </c>
      <c r="U16" s="167">
        <f>1/0.0505</f>
        <v>19.801980198019802</v>
      </c>
      <c r="V16" s="167">
        <f>1/0.0595</f>
        <v>16.80672268907563</v>
      </c>
      <c r="W16" s="167">
        <f>1/0.0587</f>
        <v>17.035775127768314</v>
      </c>
      <c r="X16" s="167">
        <f>1/0.0578</f>
        <v>17.301038062283737</v>
      </c>
      <c r="Y16" s="167">
        <f>1/0.052</f>
        <v>19.23076923076923</v>
      </c>
      <c r="Z16" s="167">
        <f>1/0.0578</f>
        <v>17.301038062283737</v>
      </c>
      <c r="AA16" s="167">
        <f>1/0.0574</f>
        <v>17.421602787456447</v>
      </c>
      <c r="AB16" s="167">
        <f>1/0.0572</f>
        <v>17.482517482517483</v>
      </c>
      <c r="AC16" s="167">
        <f>1/0.0572</f>
        <v>17.482517482517483</v>
      </c>
      <c r="AD16" s="167">
        <f>1/0.0594</f>
        <v>16.835016835016834</v>
      </c>
      <c r="AE16" s="167">
        <f>1/0.0621</f>
        <v>16.10305958132045</v>
      </c>
      <c r="AF16" s="167">
        <f>1/0.0599</f>
        <v>16.69449081803005</v>
      </c>
      <c r="AG16" s="167">
        <f>1/0.0585</f>
        <v>17.094017094017094</v>
      </c>
      <c r="AH16" s="167">
        <f>1/0.0573</f>
        <v>17.452006980802793</v>
      </c>
      <c r="AI16" s="167">
        <f>1/0.0573</f>
        <v>17.452006980802793</v>
      </c>
      <c r="AJ16" s="167">
        <f>1/0.0545</f>
        <v>18.34862385321101</v>
      </c>
      <c r="AK16" s="167">
        <f>1/0.0536</f>
        <v>18.65671641791045</v>
      </c>
      <c r="AL16" s="167">
        <f>1/0.0528</f>
        <v>18.93939393939394</v>
      </c>
      <c r="AM16" s="167">
        <f>1/0.0519</f>
        <v>19.267822736030826</v>
      </c>
    </row>
    <row r="17" spans="2:39" ht="19.5" customHeight="1">
      <c r="B17" s="148" t="s">
        <v>37</v>
      </c>
      <c r="C17" s="169"/>
      <c r="D17" s="169"/>
      <c r="E17" s="169"/>
      <c r="F17" s="151"/>
      <c r="G17" s="151"/>
      <c r="H17" s="151"/>
      <c r="I17" s="151"/>
      <c r="J17" s="151"/>
      <c r="K17" s="151"/>
      <c r="L17" s="151"/>
      <c r="M17" s="151"/>
      <c r="N17" s="151"/>
      <c r="O17" s="153"/>
      <c r="P17" s="154"/>
      <c r="Q17" s="151"/>
      <c r="R17" s="154"/>
      <c r="S17" s="154"/>
      <c r="T17" s="154"/>
      <c r="U17" s="154"/>
      <c r="V17" s="154"/>
      <c r="W17" s="154"/>
      <c r="X17" s="154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</row>
    <row r="18" spans="2:39" ht="19.5" customHeight="1">
      <c r="B18" s="139"/>
      <c r="C18" s="170"/>
      <c r="D18" s="170"/>
      <c r="E18" s="171"/>
      <c r="F18" s="140"/>
      <c r="G18" s="140"/>
      <c r="H18" s="140"/>
      <c r="I18" s="172"/>
      <c r="J18" s="172"/>
      <c r="K18" s="140"/>
      <c r="L18" s="140"/>
      <c r="M18" s="143"/>
      <c r="N18" s="172"/>
      <c r="O18" s="143"/>
      <c r="P18" s="141"/>
      <c r="Q18" s="140"/>
      <c r="R18" s="141"/>
      <c r="S18" s="141"/>
      <c r="T18" s="144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</row>
    <row r="19" spans="2:39" ht="19.5" customHeight="1">
      <c r="B19" s="139"/>
      <c r="C19" s="170"/>
      <c r="D19" s="170"/>
      <c r="E19" s="139"/>
      <c r="F19" s="140"/>
      <c r="G19" s="140"/>
      <c r="H19" s="140"/>
      <c r="I19" s="141"/>
      <c r="J19" s="141"/>
      <c r="K19" s="140"/>
      <c r="L19" s="140"/>
      <c r="M19" s="142"/>
      <c r="N19" s="141"/>
      <c r="O19" s="143"/>
      <c r="P19" s="141"/>
      <c r="Q19" s="140"/>
      <c r="R19" s="141"/>
      <c r="S19" s="141"/>
      <c r="T19" s="144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</row>
    <row r="20" spans="2:39" ht="19.5" customHeight="1">
      <c r="B20" s="173" t="s">
        <v>39</v>
      </c>
      <c r="C20" s="170"/>
      <c r="D20" s="170"/>
      <c r="E20" s="139"/>
      <c r="F20" s="140"/>
      <c r="G20" s="140"/>
      <c r="H20" s="140"/>
      <c r="I20" s="141"/>
      <c r="J20" s="141"/>
      <c r="K20" s="140"/>
      <c r="L20" s="140"/>
      <c r="M20" s="142"/>
      <c r="N20" s="141"/>
      <c r="O20" s="143"/>
      <c r="P20" s="141"/>
      <c r="Q20" s="140"/>
      <c r="R20" s="141"/>
      <c r="S20" s="141"/>
      <c r="T20" s="144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</row>
    <row r="21" spans="2:39" ht="19.5" customHeight="1" thickBot="1">
      <c r="B21" s="174" t="s">
        <v>38</v>
      </c>
      <c r="C21" s="175"/>
      <c r="D21" s="175"/>
      <c r="E21" s="176"/>
      <c r="F21" s="177"/>
      <c r="G21" s="177"/>
      <c r="H21" s="177"/>
      <c r="I21" s="178"/>
      <c r="J21" s="178"/>
      <c r="K21" s="177"/>
      <c r="L21" s="177"/>
      <c r="M21" s="179"/>
      <c r="N21" s="178"/>
      <c r="O21" s="180"/>
      <c r="P21" s="178"/>
      <c r="Q21" s="177"/>
      <c r="R21" s="178"/>
      <c r="S21" s="178"/>
      <c r="T21" s="181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</row>
  </sheetData>
  <printOptions horizontalCentered="1"/>
  <pageMargins left="0.95" right="0.49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9"/>
  <sheetViews>
    <sheetView showGridLines="0" zoomScale="75" zoomScaleNormal="75" zoomScaleSheetLayoutView="50" workbookViewId="0" topLeftCell="A1">
      <selection activeCell="A4" sqref="A4:P64"/>
    </sheetView>
  </sheetViews>
  <sheetFormatPr defaultColWidth="9.140625" defaultRowHeight="12"/>
  <cols>
    <col min="11" max="11" width="8.7109375" style="0" customWidth="1"/>
  </cols>
  <sheetData>
    <row r="2" spans="1:15" ht="12.75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22"/>
      <c r="L2" s="22"/>
      <c r="M2" s="22"/>
      <c r="N2" s="22"/>
      <c r="O2" s="22"/>
    </row>
    <row r="3" spans="1:15" ht="13.5" customHeight="1">
      <c r="A3" s="23"/>
      <c r="B3" s="19"/>
      <c r="C3" s="24"/>
      <c r="D3" s="24"/>
      <c r="E3" s="24"/>
      <c r="F3" s="24"/>
      <c r="G3" s="24"/>
      <c r="H3" s="24"/>
      <c r="I3" s="23"/>
      <c r="J3" s="23"/>
      <c r="K3" s="22"/>
      <c r="L3" s="22"/>
      <c r="M3" s="22"/>
      <c r="N3" s="22"/>
      <c r="O3" s="22"/>
    </row>
    <row r="4" spans="1:15" ht="15.75">
      <c r="A4" s="196" t="s">
        <v>113</v>
      </c>
      <c r="B4" s="196"/>
      <c r="C4" s="196"/>
      <c r="D4" s="196"/>
      <c r="E4" s="196"/>
      <c r="F4" s="196"/>
      <c r="G4" s="196"/>
      <c r="H4" s="196"/>
      <c r="I4" s="196"/>
      <c r="J4" s="196"/>
      <c r="K4" s="25"/>
      <c r="L4" s="22"/>
      <c r="M4" s="22"/>
      <c r="N4" s="22"/>
      <c r="O4" s="22"/>
    </row>
    <row r="5" spans="1:15" ht="12.75">
      <c r="A5" s="26"/>
      <c r="B5" s="27"/>
      <c r="C5" s="27"/>
      <c r="D5" s="27"/>
      <c r="E5" s="27"/>
      <c r="F5" s="27"/>
      <c r="G5" s="27"/>
      <c r="H5" s="27"/>
      <c r="I5" s="27"/>
      <c r="J5" s="27"/>
      <c r="K5" s="25"/>
      <c r="L5" s="22"/>
      <c r="M5" s="22"/>
      <c r="N5" s="22"/>
      <c r="O5" s="22"/>
    </row>
    <row r="6" spans="1:15" ht="12.7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12.7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ht="12.7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ht="12.7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ht="12.7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2.7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ht="12.7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2.7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1:15" ht="12.7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2.7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12.7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 ht="12.7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ht="12.7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1:15" ht="12.7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15" ht="12.7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5" ht="12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1:15" ht="12.7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2.7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12.7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12.7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12.7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2.7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2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12.7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2.7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12.7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1:15" ht="12.7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1:15" ht="15.75">
      <c r="A34" s="196" t="s">
        <v>112</v>
      </c>
      <c r="B34" s="196"/>
      <c r="C34" s="196"/>
      <c r="D34" s="196"/>
      <c r="E34" s="196"/>
      <c r="F34" s="196"/>
      <c r="G34" s="196"/>
      <c r="H34" s="196"/>
      <c r="I34" s="196"/>
      <c r="J34" s="196"/>
      <c r="K34" s="25"/>
      <c r="L34" s="22"/>
      <c r="M34" s="22"/>
      <c r="N34" s="22"/>
      <c r="O34" s="22"/>
    </row>
    <row r="35" spans="1:15" ht="12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1:15" ht="12.7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15" ht="12.7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15" ht="12.7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</row>
    <row r="40" spans="1:15" ht="12.7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1" spans="1:15" ht="12.7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</row>
    <row r="42" spans="1:15" ht="12.7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</row>
    <row r="43" spans="1:15" ht="12.7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</row>
    <row r="44" spans="1:15" ht="12.7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</row>
    <row r="45" spans="1:15" ht="12.7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</row>
    <row r="46" spans="1:15" ht="12.7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</row>
    <row r="47" spans="1:15" ht="12.7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</row>
    <row r="48" spans="1:15" ht="12.7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</row>
    <row r="49" spans="1:15" ht="12.7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</row>
    <row r="50" spans="1:15" ht="12.7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1:15" ht="12.7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</row>
    <row r="52" spans="1:15" ht="12.7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</row>
    <row r="53" spans="1:15" ht="12.7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</row>
    <row r="54" spans="1:15" ht="12.7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</row>
    <row r="55" spans="1:15" ht="12.7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</row>
    <row r="56" spans="1:15" ht="12.7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1:15" ht="12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</row>
    <row r="58" spans="1:15" ht="12.7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</row>
    <row r="59" spans="1:15" ht="12.7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</row>
    <row r="60" spans="1:15" ht="12.7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12.7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</row>
    <row r="62" spans="1:15" ht="12.7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</row>
    <row r="63" spans="1:15" ht="12.7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</row>
    <row r="64" spans="1:15" ht="12.7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</row>
    <row r="65" spans="1:15" ht="12.7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</row>
    <row r="66" spans="1:15" ht="12.7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</row>
    <row r="67" spans="1:15" ht="12.7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</row>
    <row r="68" spans="1:15" ht="12.7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</row>
    <row r="69" spans="1:15" ht="12.7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</row>
  </sheetData>
  <mergeCells count="3">
    <mergeCell ref="A2:J2"/>
    <mergeCell ref="A4:J4"/>
    <mergeCell ref="A34:J34"/>
  </mergeCells>
  <printOptions horizontalCentered="1" verticalCentered="1"/>
  <pageMargins left="0.77" right="0.75" top="1" bottom="1" header="0.5" footer="0.5"/>
  <pageSetup fitToHeight="1" fitToWidth="1" horizontalDpi="600" verticalDpi="600" orientation="portrait" paperSize="9" scale="7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94"/>
  <sheetViews>
    <sheetView tabSelected="1" workbookViewId="0" topLeftCell="A59">
      <selection activeCell="H88" sqref="H88"/>
    </sheetView>
  </sheetViews>
  <sheetFormatPr defaultColWidth="9.140625" defaultRowHeight="12"/>
  <cols>
    <col min="2" max="2" width="43.8515625" style="0" bestFit="1" customWidth="1"/>
    <col min="5" max="5" width="13.00390625" style="0" bestFit="1" customWidth="1"/>
    <col min="6" max="6" width="11.28125" style="0" customWidth="1"/>
  </cols>
  <sheetData>
    <row r="1" ht="12" thickBot="1"/>
    <row r="2" spans="2:6" ht="11.25">
      <c r="B2" s="197" t="s">
        <v>100</v>
      </c>
      <c r="C2" s="197"/>
      <c r="D2" s="197"/>
      <c r="E2" s="197"/>
      <c r="F2" s="197"/>
    </row>
    <row r="3" spans="2:6" ht="11.25">
      <c r="B3" s="198" t="s">
        <v>110</v>
      </c>
      <c r="C3" s="198"/>
      <c r="D3" s="198"/>
      <c r="E3" s="198"/>
      <c r="F3" s="198"/>
    </row>
    <row r="4" spans="2:6" ht="11.25">
      <c r="B4" s="69"/>
      <c r="C4" s="70"/>
      <c r="D4" s="70"/>
      <c r="E4" s="68" t="s">
        <v>101</v>
      </c>
      <c r="F4" s="86" t="s">
        <v>138</v>
      </c>
    </row>
    <row r="5" spans="2:6" ht="11.25">
      <c r="B5" s="71"/>
      <c r="C5" s="72">
        <v>38748</v>
      </c>
      <c r="D5" s="72">
        <v>38776</v>
      </c>
      <c r="E5" s="73" t="s">
        <v>46</v>
      </c>
      <c r="F5" s="73" t="s">
        <v>46</v>
      </c>
    </row>
    <row r="6" spans="2:6" ht="11.25">
      <c r="B6" s="52" t="s">
        <v>63</v>
      </c>
      <c r="C6" s="126">
        <v>3010.8339972800013</v>
      </c>
      <c r="D6" s="126">
        <v>2847.57097846</v>
      </c>
      <c r="E6" s="126">
        <v>-163.26301882000143</v>
      </c>
      <c r="F6" s="128">
        <v>-5.422518111841897</v>
      </c>
    </row>
    <row r="7" spans="2:6" ht="11.25">
      <c r="B7" s="52" t="s">
        <v>64</v>
      </c>
      <c r="C7" s="126">
        <v>2718.257359250001</v>
      </c>
      <c r="D7" s="126">
        <v>2708.40389488</v>
      </c>
      <c r="E7" s="126">
        <v>-9.853464370001348</v>
      </c>
      <c r="F7" s="128">
        <v>-0.36249195965462344</v>
      </c>
    </row>
    <row r="8" spans="2:6" ht="11.25">
      <c r="B8" s="54" t="s">
        <v>65</v>
      </c>
      <c r="C8" s="127">
        <v>2565.739694730001</v>
      </c>
      <c r="D8" s="127">
        <v>2616.34441796</v>
      </c>
      <c r="E8" s="127">
        <v>50.60472322999931</v>
      </c>
      <c r="F8" s="129">
        <v>1.9723249140955652</v>
      </c>
    </row>
    <row r="9" spans="2:6" ht="11.25">
      <c r="B9" s="54" t="s">
        <v>66</v>
      </c>
      <c r="C9" s="127">
        <v>-6.000000000000001E-08</v>
      </c>
      <c r="D9" s="127">
        <v>9.999999999999999E-09</v>
      </c>
      <c r="E9" s="127">
        <v>7E-08</v>
      </c>
      <c r="F9" s="130">
        <v>0</v>
      </c>
    </row>
    <row r="10" spans="2:6" ht="11.25">
      <c r="B10" s="54" t="s">
        <v>67</v>
      </c>
      <c r="C10" s="127">
        <v>152.51766457999997</v>
      </c>
      <c r="D10" s="127">
        <v>92.05947691</v>
      </c>
      <c r="E10" s="127">
        <v>-60.45818766999997</v>
      </c>
      <c r="F10" s="130">
        <v>-39.64012157967963</v>
      </c>
    </row>
    <row r="11" spans="2:6" ht="11.25">
      <c r="B11" s="52" t="s">
        <v>68</v>
      </c>
      <c r="C11" s="126">
        <v>292.57663803</v>
      </c>
      <c r="D11" s="126">
        <v>139.16708358</v>
      </c>
      <c r="E11" s="126">
        <v>-153.40955445000003</v>
      </c>
      <c r="F11" s="128">
        <v>-52.43397267907284</v>
      </c>
    </row>
    <row r="12" spans="2:6" ht="11.25">
      <c r="B12" s="54" t="s">
        <v>136</v>
      </c>
      <c r="C12" s="127">
        <v>278.58277615000003</v>
      </c>
      <c r="D12" s="127">
        <v>125.46657174999999</v>
      </c>
      <c r="E12" s="127">
        <v>-153.11620440000004</v>
      </c>
      <c r="F12" s="130">
        <v>-54.96255242914092</v>
      </c>
    </row>
    <row r="13" spans="2:6" ht="11.25">
      <c r="B13" s="54" t="s">
        <v>102</v>
      </c>
      <c r="C13" s="127">
        <v>0</v>
      </c>
      <c r="D13" s="127">
        <v>0</v>
      </c>
      <c r="E13" s="127">
        <v>0</v>
      </c>
      <c r="F13" s="130">
        <v>0</v>
      </c>
    </row>
    <row r="14" spans="2:6" ht="11.25">
      <c r="B14" s="54" t="s">
        <v>69</v>
      </c>
      <c r="C14" s="127">
        <v>13.993861879999999</v>
      </c>
      <c r="D14" s="127">
        <v>13.70051183</v>
      </c>
      <c r="E14" s="127">
        <v>-0.29335004999999903</v>
      </c>
      <c r="F14" s="130">
        <v>-2.0962765855167853</v>
      </c>
    </row>
    <row r="15" spans="2:6" ht="11.25">
      <c r="B15" s="76"/>
      <c r="C15" s="126"/>
      <c r="D15" s="126"/>
      <c r="E15" s="126"/>
      <c r="F15" s="128"/>
    </row>
    <row r="16" spans="2:6" ht="11.25">
      <c r="B16" s="52" t="s">
        <v>70</v>
      </c>
      <c r="C16" s="126">
        <v>3010.840923179998</v>
      </c>
      <c r="D16" s="126">
        <v>2847.5774784600026</v>
      </c>
      <c r="E16" s="126">
        <v>-163.26344471999528</v>
      </c>
      <c r="F16" s="128">
        <v>-5.422519783860227</v>
      </c>
    </row>
    <row r="17" spans="2:6" ht="11.25">
      <c r="B17" s="52" t="s">
        <v>71</v>
      </c>
      <c r="C17" s="126">
        <v>1262.9071923599986</v>
      </c>
      <c r="D17" s="126">
        <v>1248.7097480600023</v>
      </c>
      <c r="E17" s="126">
        <v>-14.197444299996278</v>
      </c>
      <c r="F17" s="128">
        <v>-1.1241874609539177</v>
      </c>
    </row>
    <row r="18" spans="2:6" ht="11.25">
      <c r="B18" s="54" t="s">
        <v>72</v>
      </c>
      <c r="C18" s="127">
        <v>963.27459715</v>
      </c>
      <c r="D18" s="127">
        <v>927.40312375</v>
      </c>
      <c r="E18" s="127">
        <v>-35.87147340000001</v>
      </c>
      <c r="F18" s="130">
        <v>-3.7239094133834145</v>
      </c>
    </row>
    <row r="19" spans="2:6" ht="11.25">
      <c r="B19" s="54" t="s">
        <v>73</v>
      </c>
      <c r="C19" s="127">
        <v>299.63259520999856</v>
      </c>
      <c r="D19" s="127">
        <v>321.30662431000223</v>
      </c>
      <c r="E19" s="127">
        <v>21.67402910000368</v>
      </c>
      <c r="F19" s="130">
        <v>7.233535151545632</v>
      </c>
    </row>
    <row r="20" spans="2:6" ht="11.25">
      <c r="B20" s="52" t="s">
        <v>109</v>
      </c>
      <c r="C20" s="126">
        <v>1869.4610238099997</v>
      </c>
      <c r="D20" s="126">
        <v>1635.0050781600003</v>
      </c>
      <c r="E20" s="126">
        <v>-234.45594564999942</v>
      </c>
      <c r="F20" s="128">
        <v>-12.54136580885615</v>
      </c>
    </row>
    <row r="21" spans="2:6" ht="11.25">
      <c r="B21" s="54" t="s">
        <v>103</v>
      </c>
      <c r="C21" s="127">
        <v>1208.2645345199996</v>
      </c>
      <c r="D21" s="127">
        <v>968.9541101300001</v>
      </c>
      <c r="E21" s="127">
        <v>-239.31042438999953</v>
      </c>
      <c r="F21" s="130">
        <v>-19.80612833969086</v>
      </c>
    </row>
    <row r="22" spans="2:6" ht="11.25">
      <c r="B22" s="77" t="s">
        <v>74</v>
      </c>
      <c r="C22" s="127">
        <v>661.19648929</v>
      </c>
      <c r="D22" s="127">
        <v>666.0509680300001</v>
      </c>
      <c r="E22" s="127">
        <v>4.854478740000104</v>
      </c>
      <c r="F22" s="130">
        <v>0.734196085223153</v>
      </c>
    </row>
    <row r="23" spans="2:6" ht="11.25">
      <c r="B23" s="53" t="s">
        <v>47</v>
      </c>
      <c r="C23" s="127">
        <v>-121.52729298999998</v>
      </c>
      <c r="D23" s="127">
        <v>-36.13734776</v>
      </c>
      <c r="E23" s="127">
        <v>85.38994522999998</v>
      </c>
      <c r="F23" s="130">
        <v>-70.26400665159751</v>
      </c>
    </row>
    <row r="24" spans="2:6" ht="11.25">
      <c r="B24" s="31"/>
      <c r="C24" s="17"/>
      <c r="D24" s="17"/>
      <c r="E24" s="17"/>
      <c r="F24" s="75"/>
    </row>
    <row r="25" spans="2:6" ht="12" hidden="1" thickBot="1">
      <c r="B25" s="78" t="s">
        <v>97</v>
      </c>
      <c r="C25" s="79">
        <v>-0.006500000002233719</v>
      </c>
      <c r="D25" s="79">
        <v>-0.006500000002688466</v>
      </c>
      <c r="E25" s="56">
        <v>-4.547473508864641E-13</v>
      </c>
      <c r="F25" s="56">
        <v>0.006500000001778972</v>
      </c>
    </row>
    <row r="26" spans="2:6" ht="11.25">
      <c r="B26" s="80"/>
      <c r="C26" s="81"/>
      <c r="D26" s="81"/>
      <c r="E26" s="81"/>
      <c r="F26" s="82"/>
    </row>
    <row r="27" spans="2:6" ht="12" thickBot="1">
      <c r="B27" s="80"/>
      <c r="C27" s="81"/>
      <c r="D27" s="81"/>
      <c r="E27" s="81"/>
      <c r="F27" s="82"/>
    </row>
    <row r="28" spans="2:6" ht="11.25">
      <c r="B28" s="197" t="s">
        <v>100</v>
      </c>
      <c r="C28" s="197"/>
      <c r="D28" s="197"/>
      <c r="E28" s="197"/>
      <c r="F28" s="197"/>
    </row>
    <row r="29" spans="2:6" ht="11.25">
      <c r="B29" s="198" t="s">
        <v>75</v>
      </c>
      <c r="C29" s="198"/>
      <c r="D29" s="198"/>
      <c r="E29" s="198"/>
      <c r="F29" s="198"/>
    </row>
    <row r="30" spans="2:6" ht="11.25">
      <c r="B30" s="69"/>
      <c r="C30" s="70"/>
      <c r="D30" s="70"/>
      <c r="E30" s="68" t="s">
        <v>101</v>
      </c>
      <c r="F30" s="86" t="s">
        <v>138</v>
      </c>
    </row>
    <row r="31" spans="2:6" ht="11.25">
      <c r="B31" s="71"/>
      <c r="C31" s="72">
        <v>38748</v>
      </c>
      <c r="D31" s="72">
        <v>38776</v>
      </c>
      <c r="E31" s="73" t="s">
        <v>46</v>
      </c>
      <c r="F31" s="73" t="s">
        <v>46</v>
      </c>
    </row>
    <row r="32" spans="2:6" ht="11.25">
      <c r="B32" s="53" t="s">
        <v>63</v>
      </c>
      <c r="C32" s="126">
        <v>30533.319522610003</v>
      </c>
      <c r="D32" s="126">
        <v>31207.20031881</v>
      </c>
      <c r="E32" s="126">
        <v>673.8807961999955</v>
      </c>
      <c r="F32" s="128">
        <v>2.2070341736049532</v>
      </c>
    </row>
    <row r="33" spans="2:6" ht="11.25">
      <c r="B33" s="53" t="s">
        <v>64</v>
      </c>
      <c r="C33" s="126">
        <v>297.719</v>
      </c>
      <c r="D33" s="126">
        <v>261.499</v>
      </c>
      <c r="E33" s="126">
        <v>-36.22</v>
      </c>
      <c r="F33" s="128">
        <v>-12.165834226233452</v>
      </c>
    </row>
    <row r="34" spans="2:6" ht="11.25">
      <c r="B34" s="77" t="s">
        <v>76</v>
      </c>
      <c r="C34" s="127">
        <v>51.635</v>
      </c>
      <c r="D34" s="127">
        <v>40.404</v>
      </c>
      <c r="E34" s="127">
        <v>-11.230999999999995</v>
      </c>
      <c r="F34" s="130">
        <v>-21.75075045995932</v>
      </c>
    </row>
    <row r="35" spans="2:6" ht="11.25">
      <c r="B35" s="77" t="s">
        <v>65</v>
      </c>
      <c r="C35" s="127">
        <v>186.977</v>
      </c>
      <c r="D35" s="127">
        <v>167.258</v>
      </c>
      <c r="E35" s="127">
        <v>-19.718999999999994</v>
      </c>
      <c r="F35" s="130">
        <v>-10.54621691437984</v>
      </c>
    </row>
    <row r="36" spans="2:6" ht="11.25">
      <c r="B36" s="77" t="s">
        <v>77</v>
      </c>
      <c r="C36" s="127">
        <v>59.107</v>
      </c>
      <c r="D36" s="127">
        <v>53.836999999999996</v>
      </c>
      <c r="E36" s="127">
        <v>-5.27</v>
      </c>
      <c r="F36" s="130">
        <v>-8.916033633918154</v>
      </c>
    </row>
    <row r="37" spans="2:6" ht="11.25">
      <c r="B37" s="77" t="s">
        <v>78</v>
      </c>
      <c r="C37" s="127">
        <v>0</v>
      </c>
      <c r="D37" s="127">
        <v>0</v>
      </c>
      <c r="E37" s="127">
        <v>0</v>
      </c>
      <c r="F37" s="130">
        <v>0</v>
      </c>
    </row>
    <row r="38" spans="2:6" ht="11.25">
      <c r="B38" s="53" t="s">
        <v>68</v>
      </c>
      <c r="C38" s="126">
        <v>28441.805522610004</v>
      </c>
      <c r="D38" s="126">
        <v>28831.69671589</v>
      </c>
      <c r="E38" s="126">
        <v>389.8911932799965</v>
      </c>
      <c r="F38" s="128">
        <v>1.370838405353872</v>
      </c>
    </row>
    <row r="39" spans="2:6" ht="11.25">
      <c r="B39" s="77" t="s">
        <v>104</v>
      </c>
      <c r="C39" s="127">
        <v>596.15</v>
      </c>
      <c r="D39" s="127">
        <v>584.195</v>
      </c>
      <c r="E39" s="127">
        <v>-11.954999999999927</v>
      </c>
      <c r="F39" s="130">
        <v>-2.0053677765662883</v>
      </c>
    </row>
    <row r="40" spans="2:6" ht="11.25">
      <c r="B40" s="77" t="s">
        <v>102</v>
      </c>
      <c r="C40" s="127">
        <v>2419.081</v>
      </c>
      <c r="D40" s="127">
        <v>2155.818</v>
      </c>
      <c r="E40" s="127">
        <v>-263.2629999999999</v>
      </c>
      <c r="F40" s="130">
        <v>-10.882769117693863</v>
      </c>
    </row>
    <row r="41" spans="2:6" ht="11.25">
      <c r="B41" s="77" t="s">
        <v>111</v>
      </c>
      <c r="C41" s="131">
        <v>1104.57111965</v>
      </c>
      <c r="D41" s="131">
        <v>1059.99634213</v>
      </c>
      <c r="E41" s="127">
        <v>-44.57477752</v>
      </c>
      <c r="F41" s="130">
        <v>-4.035482797533597</v>
      </c>
    </row>
    <row r="42" spans="2:6" ht="11.25">
      <c r="B42" s="77" t="s">
        <v>56</v>
      </c>
      <c r="C42" s="127">
        <v>26.705</v>
      </c>
      <c r="D42" s="127">
        <v>31.221</v>
      </c>
      <c r="E42" s="127">
        <v>4.516000000000002</v>
      </c>
      <c r="F42" s="130">
        <v>0</v>
      </c>
    </row>
    <row r="43" spans="2:6" ht="11.25">
      <c r="B43" s="77" t="s">
        <v>105</v>
      </c>
      <c r="C43" s="127">
        <v>28.34</v>
      </c>
      <c r="D43" s="127">
        <v>32.127</v>
      </c>
      <c r="E43" s="127">
        <v>3.7870000000000026</v>
      </c>
      <c r="F43" s="130">
        <v>13.36273817925195</v>
      </c>
    </row>
    <row r="44" spans="2:6" ht="11.25">
      <c r="B44" s="77" t="s">
        <v>132</v>
      </c>
      <c r="C44" s="127">
        <v>288.023</v>
      </c>
      <c r="D44" s="127">
        <v>285.428</v>
      </c>
      <c r="E44" s="127">
        <v>-2.5950000000000273</v>
      </c>
      <c r="F44" s="130">
        <v>-0.9009697142242207</v>
      </c>
    </row>
    <row r="45" spans="2:6" ht="11.25">
      <c r="B45" s="77" t="s">
        <v>79</v>
      </c>
      <c r="C45" s="127">
        <v>8479.001999999999</v>
      </c>
      <c r="D45" s="127">
        <v>8964.192000000001</v>
      </c>
      <c r="E45" s="127">
        <v>485.1900000000023</v>
      </c>
      <c r="F45" s="130">
        <v>5.722253633151666</v>
      </c>
    </row>
    <row r="46" spans="2:6" ht="11.25">
      <c r="B46" s="77" t="s">
        <v>57</v>
      </c>
      <c r="C46" s="127">
        <v>15499.933402960003</v>
      </c>
      <c r="D46" s="127">
        <v>15718.71937376</v>
      </c>
      <c r="E46" s="127">
        <v>218.785970799996</v>
      </c>
      <c r="F46" s="130">
        <v>1.4115284570075295</v>
      </c>
    </row>
    <row r="47" spans="2:6" ht="11.25">
      <c r="B47" s="83" t="s">
        <v>80</v>
      </c>
      <c r="C47" s="127">
        <v>1793.795</v>
      </c>
      <c r="D47" s="127">
        <v>2114.00460292</v>
      </c>
      <c r="E47" s="127">
        <v>320.20960291999995</v>
      </c>
      <c r="F47" s="130">
        <v>17.850958605637768</v>
      </c>
    </row>
    <row r="48" spans="2:6" ht="11.25">
      <c r="B48" s="84"/>
      <c r="C48" s="126"/>
      <c r="D48" s="126"/>
      <c r="E48" s="126"/>
      <c r="F48" s="130"/>
    </row>
    <row r="49" spans="2:6" ht="11.25">
      <c r="B49" s="53" t="s">
        <v>70</v>
      </c>
      <c r="C49" s="126">
        <v>30533.318784170006</v>
      </c>
      <c r="D49" s="126">
        <v>31207.20050403</v>
      </c>
      <c r="E49" s="126">
        <v>673.8817198599936</v>
      </c>
      <c r="F49" s="128">
        <v>2.207037252070245</v>
      </c>
    </row>
    <row r="50" spans="2:6" ht="11.25">
      <c r="B50" s="83" t="s">
        <v>81</v>
      </c>
      <c r="C50" s="126">
        <v>2111.78384429</v>
      </c>
      <c r="D50" s="126">
        <v>2539.08922877</v>
      </c>
      <c r="E50" s="126">
        <v>427.3053844799997</v>
      </c>
      <c r="F50" s="128">
        <v>20.234333434995257</v>
      </c>
    </row>
    <row r="51" spans="2:6" ht="11.25">
      <c r="B51" s="77" t="s">
        <v>65</v>
      </c>
      <c r="C51" s="127">
        <v>1212.43280568</v>
      </c>
      <c r="D51" s="127">
        <v>1168.83780568</v>
      </c>
      <c r="E51" s="127">
        <v>-43.595</v>
      </c>
      <c r="F51" s="130">
        <v>-3.595663181973167</v>
      </c>
    </row>
    <row r="52" spans="2:6" ht="11.25">
      <c r="B52" s="77" t="s">
        <v>77</v>
      </c>
      <c r="C52" s="127">
        <v>899.3510386099999</v>
      </c>
      <c r="D52" s="127">
        <v>1370.2514230900001</v>
      </c>
      <c r="E52" s="127">
        <v>470.9003844800002</v>
      </c>
      <c r="F52" s="130">
        <v>52.36002008824102</v>
      </c>
    </row>
    <row r="53" spans="2:6" ht="11.25">
      <c r="B53" s="77" t="s">
        <v>82</v>
      </c>
      <c r="C53" s="127">
        <v>0</v>
      </c>
      <c r="D53" s="127">
        <v>0</v>
      </c>
      <c r="E53" s="127">
        <v>0</v>
      </c>
      <c r="F53" s="130">
        <v>0</v>
      </c>
    </row>
    <row r="54" spans="2:6" ht="11.25">
      <c r="B54" s="53" t="s">
        <v>83</v>
      </c>
      <c r="C54" s="126">
        <v>32044.233939880003</v>
      </c>
      <c r="D54" s="126">
        <v>32128.041275260002</v>
      </c>
      <c r="E54" s="126">
        <v>83.80733537999913</v>
      </c>
      <c r="F54" s="128">
        <v>0.26153639852097826</v>
      </c>
    </row>
    <row r="55" spans="2:6" ht="11.25">
      <c r="B55" s="77" t="s">
        <v>84</v>
      </c>
      <c r="C55" s="126">
        <v>17149.49609471</v>
      </c>
      <c r="D55" s="126">
        <v>17522.96576168</v>
      </c>
      <c r="E55" s="126">
        <v>373.4696669699988</v>
      </c>
      <c r="F55" s="128">
        <v>2.177729683178275</v>
      </c>
    </row>
    <row r="56" spans="2:6" ht="11.25">
      <c r="B56" s="85" t="s">
        <v>85</v>
      </c>
      <c r="C56" s="127">
        <v>9213.473</v>
      </c>
      <c r="D56" s="127">
        <v>9657.386</v>
      </c>
      <c r="E56" s="127">
        <v>443.91300000000047</v>
      </c>
      <c r="F56" s="130">
        <v>4.818085427720909</v>
      </c>
    </row>
    <row r="57" spans="2:6" ht="11.25">
      <c r="B57" s="85" t="s">
        <v>82</v>
      </c>
      <c r="C57" s="127">
        <v>7936.023094710001</v>
      </c>
      <c r="D57" s="127">
        <v>7865.579761679999</v>
      </c>
      <c r="E57" s="127">
        <v>-70.44333303000167</v>
      </c>
      <c r="F57" s="130">
        <v>-0.8876402221782573</v>
      </c>
    </row>
    <row r="58" spans="2:6" ht="11.25">
      <c r="B58" s="77" t="s">
        <v>86</v>
      </c>
      <c r="C58" s="127">
        <v>5285.02696467</v>
      </c>
      <c r="D58" s="127">
        <v>5100.4923100000005</v>
      </c>
      <c r="E58" s="127">
        <v>-184.53465466999933</v>
      </c>
      <c r="F58" s="130">
        <v>-3.491650201665939</v>
      </c>
    </row>
    <row r="59" spans="2:6" ht="11.25">
      <c r="B59" s="77" t="s">
        <v>123</v>
      </c>
      <c r="C59" s="127">
        <v>0</v>
      </c>
      <c r="D59" s="127">
        <v>0</v>
      </c>
      <c r="E59" s="127">
        <v>0</v>
      </c>
      <c r="F59" s="130">
        <v>0</v>
      </c>
    </row>
    <row r="60" spans="2:6" ht="11.25">
      <c r="B60" s="77" t="s">
        <v>124</v>
      </c>
      <c r="C60" s="127">
        <v>414.27858387</v>
      </c>
      <c r="D60" s="127">
        <v>402.26461488</v>
      </c>
      <c r="E60" s="127">
        <v>-12.013968989999967</v>
      </c>
      <c r="F60" s="130">
        <v>-2.899973461763578</v>
      </c>
    </row>
    <row r="61" spans="2:6" ht="11.25">
      <c r="B61" s="77" t="s">
        <v>77</v>
      </c>
      <c r="C61" s="127">
        <v>3622.699</v>
      </c>
      <c r="D61" s="127">
        <v>3459.93</v>
      </c>
      <c r="E61" s="127">
        <v>-162.76899999999978</v>
      </c>
      <c r="F61" s="130">
        <v>-4.493031300695967</v>
      </c>
    </row>
    <row r="62" spans="2:6" ht="11.25">
      <c r="B62" s="77" t="s">
        <v>106</v>
      </c>
      <c r="C62" s="127">
        <v>0</v>
      </c>
      <c r="D62" s="127">
        <v>0</v>
      </c>
      <c r="E62" s="127">
        <v>0</v>
      </c>
      <c r="F62" s="130">
        <v>0</v>
      </c>
    </row>
    <row r="63" spans="2:6" ht="11.25">
      <c r="B63" s="77" t="s">
        <v>107</v>
      </c>
      <c r="C63" s="127">
        <v>0</v>
      </c>
      <c r="D63" s="127">
        <v>0</v>
      </c>
      <c r="E63" s="127">
        <v>0</v>
      </c>
      <c r="F63" s="130">
        <v>0</v>
      </c>
    </row>
    <row r="64" spans="2:6" ht="11.25">
      <c r="B64" s="77" t="s">
        <v>87</v>
      </c>
      <c r="C64" s="127">
        <v>1369.7140676199997</v>
      </c>
      <c r="D64" s="127">
        <v>1365.43221049</v>
      </c>
      <c r="E64" s="127">
        <v>-4.2818571299997075</v>
      </c>
      <c r="F64" s="130">
        <v>-0.31260956072677387</v>
      </c>
    </row>
    <row r="65" spans="2:6" ht="11.25">
      <c r="B65" s="77" t="s">
        <v>88</v>
      </c>
      <c r="C65" s="127">
        <v>4203.01922901</v>
      </c>
      <c r="D65" s="127">
        <v>4276.95637821</v>
      </c>
      <c r="E65" s="127">
        <v>73.93714920000002</v>
      </c>
      <c r="F65" s="130">
        <v>1.7591437291000815</v>
      </c>
    </row>
    <row r="66" spans="2:6" ht="11.25">
      <c r="B66" s="17"/>
      <c r="C66" s="17"/>
      <c r="D66" s="17"/>
      <c r="E66" s="17"/>
      <c r="F66" s="17"/>
    </row>
    <row r="67" spans="2:6" ht="12" hidden="1" thickBot="1">
      <c r="B67" s="56" t="s">
        <v>89</v>
      </c>
      <c r="C67" s="56">
        <v>-0.00027191999834030867</v>
      </c>
      <c r="D67" s="56">
        <v>-0.0004896500031463802</v>
      </c>
      <c r="E67" s="56">
        <v>-0.00021773000480607152</v>
      </c>
      <c r="F67" s="56">
        <v>-1.2805017355344006E-06</v>
      </c>
    </row>
    <row r="68" spans="2:6" ht="11.25">
      <c r="B68" s="92" t="s">
        <v>126</v>
      </c>
      <c r="C68" s="41"/>
      <c r="D68" s="41"/>
      <c r="E68" s="41"/>
      <c r="F68" s="41"/>
    </row>
    <row r="69" spans="2:6" ht="12" thickBot="1">
      <c r="B69" s="41"/>
      <c r="C69" s="41"/>
      <c r="D69" s="41"/>
      <c r="E69" s="41"/>
      <c r="F69" s="41"/>
    </row>
    <row r="70" spans="2:6" ht="11.25">
      <c r="B70" s="197" t="s">
        <v>100</v>
      </c>
      <c r="C70" s="197"/>
      <c r="D70" s="197"/>
      <c r="E70" s="197"/>
      <c r="F70" s="197"/>
    </row>
    <row r="71" spans="2:6" ht="11.25">
      <c r="B71" s="198" t="s">
        <v>99</v>
      </c>
      <c r="C71" s="198"/>
      <c r="D71" s="198"/>
      <c r="E71" s="198"/>
      <c r="F71" s="198"/>
    </row>
    <row r="72" spans="2:6" ht="11.25">
      <c r="B72" s="69"/>
      <c r="C72" s="70"/>
      <c r="D72" s="70"/>
      <c r="E72" s="68" t="s">
        <v>101</v>
      </c>
      <c r="F72" s="86" t="s">
        <v>138</v>
      </c>
    </row>
    <row r="73" spans="2:6" ht="11.25">
      <c r="B73" s="71"/>
      <c r="C73" s="72">
        <v>38748</v>
      </c>
      <c r="D73" s="72">
        <v>38776</v>
      </c>
      <c r="E73" s="73" t="s">
        <v>46</v>
      </c>
      <c r="F73" s="73" t="s">
        <v>46</v>
      </c>
    </row>
    <row r="74" spans="2:9" ht="11.25">
      <c r="B74" s="52" t="s">
        <v>63</v>
      </c>
      <c r="C74" s="53">
        <v>27999.29125007</v>
      </c>
      <c r="D74" s="53">
        <v>28463.250586989998</v>
      </c>
      <c r="E74" s="53">
        <v>463.95933691999744</v>
      </c>
      <c r="F74" s="128">
        <v>1.65703957566725</v>
      </c>
      <c r="G74" s="104"/>
      <c r="H74" s="104"/>
      <c r="I74" s="103"/>
    </row>
    <row r="75" spans="2:9" ht="11.25">
      <c r="B75" s="52" t="s">
        <v>0</v>
      </c>
      <c r="C75" s="17">
        <v>891.4310677700005</v>
      </c>
      <c r="D75" s="17">
        <v>418.3940563500005</v>
      </c>
      <c r="E75" s="17">
        <v>-473.03701142</v>
      </c>
      <c r="F75" s="130">
        <v>-53.064900755966136</v>
      </c>
      <c r="G75" s="104"/>
      <c r="H75" s="104"/>
      <c r="I75" s="103"/>
    </row>
    <row r="76" spans="2:8" ht="11.25">
      <c r="B76" s="52" t="s">
        <v>90</v>
      </c>
      <c r="C76" s="53">
        <v>25156.91173032</v>
      </c>
      <c r="D76" s="53">
        <v>25823.37077546</v>
      </c>
      <c r="E76" s="53">
        <v>666.45904514</v>
      </c>
      <c r="F76" s="128">
        <v>2.6492085049404532</v>
      </c>
      <c r="G76" s="105"/>
      <c r="H76" s="105"/>
    </row>
    <row r="77" spans="2:8" ht="11.25">
      <c r="B77" s="54" t="s">
        <v>108</v>
      </c>
      <c r="C77" s="17">
        <v>820.9144654800007</v>
      </c>
      <c r="D77" s="17">
        <v>777.9828898700002</v>
      </c>
      <c r="E77" s="17">
        <v>-42.931575610000436</v>
      </c>
      <c r="F77" s="130">
        <v>-5.229725801566637</v>
      </c>
      <c r="G77" s="105"/>
      <c r="H77" s="105"/>
    </row>
    <row r="78" spans="2:8" ht="11.25">
      <c r="B78" s="54" t="s">
        <v>91</v>
      </c>
      <c r="C78" s="53">
        <v>24335.99726484</v>
      </c>
      <c r="D78" s="53">
        <v>25045.38788559</v>
      </c>
      <c r="E78" s="53">
        <v>709.3906207500004</v>
      </c>
      <c r="F78" s="128">
        <v>2.914984798157046</v>
      </c>
      <c r="G78" s="105"/>
      <c r="H78" s="105"/>
    </row>
    <row r="79" spans="2:8" ht="11.25">
      <c r="B79" s="54" t="s">
        <v>119</v>
      </c>
      <c r="C79" s="17">
        <v>26.705</v>
      </c>
      <c r="D79" s="17">
        <v>31.221</v>
      </c>
      <c r="E79" s="17">
        <v>4.516000000000002</v>
      </c>
      <c r="F79" s="130">
        <v>16.910690881857338</v>
      </c>
      <c r="G79" s="105"/>
      <c r="H79" s="105"/>
    </row>
    <row r="80" spans="2:8" ht="11.25">
      <c r="B80" s="54" t="s">
        <v>120</v>
      </c>
      <c r="C80" s="17">
        <v>28.34</v>
      </c>
      <c r="D80" s="17">
        <v>32.127</v>
      </c>
      <c r="E80" s="17">
        <v>3.7870000000000026</v>
      </c>
      <c r="F80" s="130">
        <v>13.36273817925195</v>
      </c>
      <c r="G80" s="105"/>
      <c r="H80" s="105"/>
    </row>
    <row r="81" spans="2:8" ht="11.25">
      <c r="B81" s="54" t="s">
        <v>135</v>
      </c>
      <c r="C81" s="17">
        <v>288.023</v>
      </c>
      <c r="D81" s="17">
        <v>285.428</v>
      </c>
      <c r="E81" s="17">
        <v>-2.5950000000000273</v>
      </c>
      <c r="F81" s="130">
        <v>-0.9009697142242207</v>
      </c>
      <c r="G81" s="105"/>
      <c r="H81" s="105"/>
    </row>
    <row r="82" spans="2:8" ht="11.25">
      <c r="B82" s="54" t="s">
        <v>122</v>
      </c>
      <c r="C82" s="17">
        <v>8479.001999999999</v>
      </c>
      <c r="D82" s="17">
        <v>8964.192000000001</v>
      </c>
      <c r="E82" s="17">
        <v>485.1900000000023</v>
      </c>
      <c r="F82" s="130">
        <v>5.722253633151666</v>
      </c>
      <c r="G82" s="105"/>
      <c r="H82" s="105"/>
    </row>
    <row r="83" spans="2:8" ht="11.25">
      <c r="B83" s="54" t="s">
        <v>121</v>
      </c>
      <c r="C83" s="17">
        <v>15513.927264840004</v>
      </c>
      <c r="D83" s="17">
        <v>15732.41988559</v>
      </c>
      <c r="E83" s="17">
        <v>218.4926207499957</v>
      </c>
      <c r="F83" s="130">
        <v>1.4083643491430862</v>
      </c>
      <c r="G83" s="105"/>
      <c r="H83" s="105"/>
    </row>
    <row r="84" spans="2:9" ht="11.25">
      <c r="B84" s="52" t="s">
        <v>80</v>
      </c>
      <c r="C84" s="17">
        <v>1950.9484519799998</v>
      </c>
      <c r="D84" s="17">
        <v>2221.4857551799996</v>
      </c>
      <c r="E84" s="17">
        <v>270.53730319999977</v>
      </c>
      <c r="F84" s="130">
        <v>13.866963164784488</v>
      </c>
      <c r="G84" s="104"/>
      <c r="H84" s="104"/>
      <c r="I84" s="103"/>
    </row>
    <row r="85" spans="2:8" ht="11.25">
      <c r="B85" s="31"/>
      <c r="C85" s="17"/>
      <c r="D85" s="17"/>
      <c r="E85" s="53"/>
      <c r="F85" s="128"/>
      <c r="G85" s="105"/>
      <c r="H85" s="105"/>
    </row>
    <row r="86" spans="2:9" ht="11.25">
      <c r="B86" s="52" t="s">
        <v>70</v>
      </c>
      <c r="C86" s="53">
        <v>27999.29743753</v>
      </c>
      <c r="D86" s="53">
        <v>28463.25727221</v>
      </c>
      <c r="E86" s="53">
        <v>463.9598346800012</v>
      </c>
      <c r="F86" s="128">
        <v>1.657040987243179</v>
      </c>
      <c r="G86" s="104"/>
      <c r="H86" s="104"/>
      <c r="I86" s="103"/>
    </row>
    <row r="87" spans="2:8" ht="11.25">
      <c r="B87" s="52" t="s">
        <v>92</v>
      </c>
      <c r="C87" s="53">
        <v>17796.424857460002</v>
      </c>
      <c r="D87" s="53">
        <v>18222.195828539996</v>
      </c>
      <c r="E87" s="53">
        <v>425.7709710799936</v>
      </c>
      <c r="F87" s="128">
        <v>2.3924522733649876</v>
      </c>
      <c r="G87" s="105"/>
      <c r="H87" s="105"/>
    </row>
    <row r="88" spans="2:8" ht="11.25">
      <c r="B88" s="54" t="s">
        <v>93</v>
      </c>
      <c r="C88" s="17">
        <v>646.86359715</v>
      </c>
      <c r="D88" s="17">
        <v>662.99512375</v>
      </c>
      <c r="E88" s="17">
        <v>16.131526599999916</v>
      </c>
      <c r="F88" s="128">
        <v>2.4938065259930227</v>
      </c>
      <c r="G88" s="105"/>
      <c r="H88" s="105"/>
    </row>
    <row r="89" spans="2:8" ht="11.25">
      <c r="B89" s="54" t="s">
        <v>94</v>
      </c>
      <c r="C89" s="17">
        <v>9213.5381656</v>
      </c>
      <c r="D89" s="17">
        <v>9693.62094311</v>
      </c>
      <c r="E89" s="17">
        <v>480.0827775099988</v>
      </c>
      <c r="F89" s="128">
        <v>5.210623420462436</v>
      </c>
      <c r="G89" s="105"/>
      <c r="H89" s="105"/>
    </row>
    <row r="90" spans="2:8" ht="11.25">
      <c r="B90" s="54" t="s">
        <v>95</v>
      </c>
      <c r="C90" s="17">
        <v>7936.023094710001</v>
      </c>
      <c r="D90" s="17">
        <v>7865.579761679999</v>
      </c>
      <c r="E90" s="17">
        <v>-70.44333303000167</v>
      </c>
      <c r="F90" s="128">
        <v>-0.8876402221782573</v>
      </c>
      <c r="G90" s="105"/>
      <c r="H90" s="105"/>
    </row>
    <row r="91" spans="2:9" ht="11.25">
      <c r="B91" s="52" t="s">
        <v>96</v>
      </c>
      <c r="C91" s="17">
        <v>10202.872580069998</v>
      </c>
      <c r="D91" s="17">
        <v>10241.061443670003</v>
      </c>
      <c r="E91" s="17">
        <v>38.18886360000579</v>
      </c>
      <c r="F91" s="130">
        <v>0.37429521245421443</v>
      </c>
      <c r="G91" s="104"/>
      <c r="H91" s="104"/>
      <c r="I91" s="103"/>
    </row>
    <row r="92" spans="2:8" ht="11.25">
      <c r="B92" s="31"/>
      <c r="C92" s="17"/>
      <c r="D92" s="17"/>
      <c r="E92" s="53"/>
      <c r="F92" s="74"/>
      <c r="G92" s="105"/>
      <c r="H92" s="105"/>
    </row>
    <row r="93" spans="2:6" ht="12" hidden="1" thickBot="1">
      <c r="B93" s="55" t="s">
        <v>97</v>
      </c>
      <c r="C93" s="56">
        <f>C74-C86</f>
        <v>-0.006187459999637213</v>
      </c>
      <c r="D93" s="56">
        <f>D74-D86</f>
        <v>-0.00668522000341909</v>
      </c>
      <c r="E93" s="56">
        <f>E74-E86</f>
        <v>-0.0004977600037818775</v>
      </c>
      <c r="F93" s="56">
        <v>-2.10160347235977E-06</v>
      </c>
    </row>
    <row r="94" spans="2:6" ht="11.25">
      <c r="B94" s="41"/>
      <c r="C94" s="41"/>
      <c r="D94" s="41"/>
      <c r="E94" s="41"/>
      <c r="F94" s="41"/>
    </row>
  </sheetData>
  <mergeCells count="6">
    <mergeCell ref="B2:F2"/>
    <mergeCell ref="B3:F3"/>
    <mergeCell ref="B70:F70"/>
    <mergeCell ref="B71:F71"/>
    <mergeCell ref="B28:F28"/>
    <mergeCell ref="B29:F29"/>
  </mergeCells>
  <printOptions/>
  <pageMargins left="0.75" right="0.75" top="1" bottom="1" header="0.5" footer="0.5"/>
  <pageSetup fitToHeight="2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Namibia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Steytler</dc:creator>
  <cp:keywords/>
  <dc:description/>
  <cp:lastModifiedBy>hai037</cp:lastModifiedBy>
  <cp:lastPrinted>2006-04-05T09:56:58Z</cp:lastPrinted>
  <dcterms:created xsi:type="dcterms:W3CDTF">1999-07-02T10:21:54Z</dcterms:created>
  <dcterms:modified xsi:type="dcterms:W3CDTF">2006-04-05T12:56:41Z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569358770</vt:i4>
  </property>
  <property fmtid="{D5CDD505-2E9C-101B-9397-08002B2CF9AE}" pid="3" name="_EmailSubject">
    <vt:lpwstr>September   2003.xls</vt:lpwstr>
  </property>
  <property fmtid="{D5CDD505-2E9C-101B-9397-08002B2CF9AE}" pid="4" name="_AuthorEmail">
    <vt:lpwstr>Susan.Haihambo@BON.COM.NA</vt:lpwstr>
  </property>
  <property fmtid="{D5CDD505-2E9C-101B-9397-08002B2CF9AE}" pid="5" name="_AuthorEmailDisplayName">
    <vt:lpwstr>Susan Haihambo</vt:lpwstr>
  </property>
  <property fmtid="{D5CDD505-2E9C-101B-9397-08002B2CF9AE}" pid="6" name="_ReviewingToolsShownOnce">
    <vt:lpwstr/>
  </property>
</Properties>
</file>