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5" yWindow="1635" windowWidth="12990" windowHeight="5865" tabRatio="616" activeTab="1"/>
  </bookViews>
  <sheets>
    <sheet name="Coverpag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  <sheet name="S8" sheetId="9" r:id="rId9"/>
  </sheets>
  <externalReferences>
    <externalReference r:id="rId12"/>
  </externalReferences>
  <definedNames>
    <definedName name="__123Graph_A" hidden="1">'[1]M1 M2 Chart'!$D$6:$D$70</definedName>
    <definedName name="__123Graph_B" hidden="1">'[1]M1 M2 Chart'!$E$6:$E$70</definedName>
    <definedName name="__123Graph_C" hidden="1">'[1]M1 M2 Chart'!$F$6:$F$70</definedName>
    <definedName name="__123Graph_D" hidden="1">'[1]M1 M2 Chart'!$G$6:$G$70</definedName>
    <definedName name="__123Graph_E" hidden="1">'[1]M1 M2 Chart'!$H$6:$H$70</definedName>
    <definedName name="__123Graph_F" hidden="1">'[1]M1 M2 Chart'!$I$6:$I$70</definedName>
    <definedName name="_xlnm.Print_Area" localSheetId="0">'Coverpage'!$A$2:$A$20</definedName>
    <definedName name="_xlnm.Print_Area" localSheetId="2">'S2'!$A$4:$Q$60</definedName>
    <definedName name="_xlnm.Print_Area" localSheetId="3">'S3'!$A$4:$R$82</definedName>
    <definedName name="_xlnm.Print_Area" localSheetId="4">'S4'!$A$1:$C$88</definedName>
    <definedName name="_xlnm.Print_Area" localSheetId="5">'S5'!$A$4:$P$66</definedName>
    <definedName name="_xlnm.Print_Area" localSheetId="6">'S6'!$B$4:$CF$20</definedName>
    <definedName name="_xlnm.Print_Area" localSheetId="7">'S7'!$A$4:$R$72</definedName>
    <definedName name="_xlnm.Print_Area" localSheetId="8">'S8'!$B$77:$K$102</definedName>
    <definedName name="Z_1119964D_FB32_11D4_9C51_0090277BCB1A_.wvu.Cols" localSheetId="6" hidden="1">'S6'!$B:$B</definedName>
    <definedName name="Z_1119964D_FB32_11D4_9C51_0090277BCB1A_.wvu.PrintArea" localSheetId="2" hidden="1">'S2'!$A$1:$L$24</definedName>
    <definedName name="Z_1119964D_FB32_11D4_9C51_0090277BCB1A_.wvu.PrintArea" localSheetId="4" hidden="1">'S4'!$A$2:$A$85</definedName>
    <definedName name="Z_1119964D_FB32_11D4_9C51_0090277BCB1A_.wvu.PrintArea" localSheetId="5" hidden="1">'S5'!$A$1:$J$41</definedName>
    <definedName name="Z_1119964D_FB32_11D4_9C51_0090277BCB1A_.wvu.PrintArea" localSheetId="6" hidden="1">'S6'!$B$2:$B$20</definedName>
    <definedName name="Z_1119964D_FB32_11D4_9C51_0090277BCB1A_.wvu.PrintArea" localSheetId="7" hidden="1">'S7'!$A$1:$J$64</definedName>
    <definedName name="Z_4BE07961_847F_11D4_A83A_00D0B7747A8F_.wvu.PrintArea" localSheetId="2" hidden="1">'S2'!$A$1:$L$24</definedName>
    <definedName name="Z_4BE07961_847F_11D4_A83A_00D0B7747A8F_.wvu.PrintArea" localSheetId="4" hidden="1">'S4'!$A$2:$A$85</definedName>
    <definedName name="Z_4BE07961_847F_11D4_A83A_00D0B7747A8F_.wvu.PrintArea" localSheetId="5" hidden="1">'S5'!$A$1:$J$41</definedName>
    <definedName name="Z_4BE07961_847F_11D4_A83A_00D0B7747A8F_.wvu.PrintArea" localSheetId="7" hidden="1">'S7'!$A$1:$J$64</definedName>
    <definedName name="Z_5050E6E2_8401_11D4_81A4_00608C91AED9_.wvu.Cols" localSheetId="6" hidden="1">'S6'!$B:$B</definedName>
    <definedName name="Z_5050E6E2_8401_11D4_81A4_00608C91AED9_.wvu.PrintArea" localSheetId="2" hidden="1">'S2'!$A$1:$L$24</definedName>
    <definedName name="Z_5050E6E2_8401_11D4_81A4_00608C91AED9_.wvu.PrintArea" localSheetId="4" hidden="1">'S4'!$A$2:$A$85</definedName>
    <definedName name="Z_5050E6E2_8401_11D4_81A4_00608C91AED9_.wvu.PrintArea" localSheetId="5" hidden="1">'S5'!$A$1:$J$41</definedName>
    <definedName name="Z_5050E6E2_8401_11D4_81A4_00608C91AED9_.wvu.PrintArea" localSheetId="6" hidden="1">'S6'!$B$2:$B$21</definedName>
    <definedName name="Z_5050E6E2_8401_11D4_81A4_00608C91AED9_.wvu.PrintArea" localSheetId="7" hidden="1">'S7'!$A$1:$I$64</definedName>
  </definedNames>
  <calcPr fullCalcOnLoad="1"/>
</workbook>
</file>

<file path=xl/sharedStrings.xml><?xml version="1.0" encoding="utf-8"?>
<sst xmlns="http://schemas.openxmlformats.org/spreadsheetml/2006/main" count="289" uniqueCount="181">
  <si>
    <t>Trade credit and advances</t>
  </si>
  <si>
    <t>Net Foreign Assets</t>
  </si>
  <si>
    <t>Money Market</t>
  </si>
  <si>
    <t>Mortgage Rate (market avg) [%]</t>
  </si>
  <si>
    <t>Deposit Rate (monthly weighted avg) [%]</t>
  </si>
  <si>
    <t>91-Day Treasury Bills</t>
  </si>
  <si>
    <t xml:space="preserve">  - discount rate [%]</t>
  </si>
  <si>
    <t xml:space="preserve">  - allotted [N$ mln]</t>
  </si>
  <si>
    <t xml:space="preserve">  - redeemed [N$ mln]</t>
  </si>
  <si>
    <t>Capital Market</t>
  </si>
  <si>
    <t>Internal Registered Stock (IRS)</t>
  </si>
  <si>
    <t xml:space="preserve">  - yield to maturity [%]</t>
  </si>
  <si>
    <t xml:space="preserve">  - outstanding [N$ mln]</t>
  </si>
  <si>
    <t>Namibian Stock Exchange</t>
  </si>
  <si>
    <t>All Shares</t>
  </si>
  <si>
    <t xml:space="preserve">    volume [mln shares]</t>
  </si>
  <si>
    <t xml:space="preserve">    turnover [N$ mln]</t>
  </si>
  <si>
    <t xml:space="preserve">    price index (end of month)</t>
  </si>
  <si>
    <t xml:space="preserve">    market capitalization [N$ bln]</t>
  </si>
  <si>
    <t xml:space="preserve">    -  mining</t>
  </si>
  <si>
    <t xml:space="preserve">    -  financial</t>
  </si>
  <si>
    <t xml:space="preserve">    -  industrial</t>
  </si>
  <si>
    <t xml:space="preserve">    -  retail</t>
  </si>
  <si>
    <t xml:space="preserve">    -  fishing</t>
  </si>
  <si>
    <t>Local Shares</t>
  </si>
  <si>
    <t>Twelve Months</t>
  </si>
  <si>
    <t>Since last December</t>
  </si>
  <si>
    <t>Month-on-Month</t>
  </si>
  <si>
    <t xml:space="preserve">   Change in reserves</t>
  </si>
  <si>
    <t>NAD per U.S dollar</t>
  </si>
  <si>
    <t>U.S dollar per NAD</t>
  </si>
  <si>
    <t>German mark per NAD</t>
  </si>
  <si>
    <t>British pound per NAD</t>
  </si>
  <si>
    <t>Japanese yen per NAD</t>
  </si>
  <si>
    <t>NAD = Namibia Dollar</t>
  </si>
  <si>
    <t>*Source: South African Reserve Bank</t>
  </si>
  <si>
    <t xml:space="preserve">  - Effective yield(%)</t>
  </si>
  <si>
    <t xml:space="preserve">   - Effective yield (%)</t>
  </si>
  <si>
    <t>Prime Rate  (market avg) %</t>
  </si>
  <si>
    <t>Debt outstanding (91- &amp;182- &amp; 365 day TBs) [N$ mln]</t>
  </si>
  <si>
    <t>Foreign exchange rates (average)*</t>
  </si>
  <si>
    <t>Other Items Net</t>
  </si>
  <si>
    <t>FINANCIAL INDICATORS</t>
  </si>
  <si>
    <t>BANK OF NAMIBIA</t>
  </si>
  <si>
    <t>RESEARCH DEPARTMENT</t>
  </si>
  <si>
    <t>Statistical Release of Selected Data</t>
  </si>
  <si>
    <t>Other financial corporations</t>
  </si>
  <si>
    <t>Other resident sectors</t>
  </si>
  <si>
    <t>Broad Money Liabilities</t>
  </si>
  <si>
    <t>Currency outside depository corporations</t>
  </si>
  <si>
    <t>Transferable deposits</t>
  </si>
  <si>
    <t>Other deposits</t>
  </si>
  <si>
    <t>Total Assets</t>
  </si>
  <si>
    <t>Deposits</t>
  </si>
  <si>
    <t>Securities other than shares</t>
  </si>
  <si>
    <t xml:space="preserve">Other </t>
  </si>
  <si>
    <t>Claims on residents</t>
  </si>
  <si>
    <t>Other sectors</t>
  </si>
  <si>
    <t>Total Liabilities</t>
  </si>
  <si>
    <t>Monetary Base</t>
  </si>
  <si>
    <t>Currency in circulation</t>
  </si>
  <si>
    <t xml:space="preserve">Liabilities to ODC's </t>
  </si>
  <si>
    <t>Shares and other equity</t>
  </si>
  <si>
    <t>Foreign currency</t>
  </si>
  <si>
    <t>Loans</t>
  </si>
  <si>
    <t>Others</t>
  </si>
  <si>
    <t>Non resident sector</t>
  </si>
  <si>
    <t>Other</t>
  </si>
  <si>
    <t>Resident sector</t>
  </si>
  <si>
    <t>Deposits included in M2</t>
  </si>
  <si>
    <t>Transferable</t>
  </si>
  <si>
    <t>Domestic Claims</t>
  </si>
  <si>
    <t>Broad Money Supply</t>
  </si>
  <si>
    <t>Check</t>
  </si>
  <si>
    <t>Money and Banking Statistics</t>
  </si>
  <si>
    <t>Central government</t>
  </si>
  <si>
    <t>Central bank</t>
  </si>
  <si>
    <t>State and local governments</t>
  </si>
  <si>
    <t>Consumer Price Inflation [Percentage Change]*</t>
  </si>
  <si>
    <t>Primary auction</t>
  </si>
  <si>
    <t xml:space="preserve">         Foreign exchange reserves (NAD millions)</t>
  </si>
  <si>
    <t>Loans and Advances</t>
  </si>
  <si>
    <t>Mortgage Loans</t>
  </si>
  <si>
    <t xml:space="preserve">Other Loans &amp; Advances </t>
  </si>
  <si>
    <t>Overdraft</t>
  </si>
  <si>
    <t>Installment Credit</t>
  </si>
  <si>
    <t>Leasing Transactions</t>
  </si>
  <si>
    <t>Other Claims</t>
  </si>
  <si>
    <t xml:space="preserve">Loans and Advances </t>
  </si>
  <si>
    <t>Other Loans &amp; Advances</t>
  </si>
  <si>
    <t>Claims on non-resident private sector</t>
  </si>
  <si>
    <t xml:space="preserve">Other Items Net </t>
  </si>
  <si>
    <t>Liabilities to Central Government</t>
  </si>
  <si>
    <t>Liabilities to Central Bank</t>
  </si>
  <si>
    <t>Other liabilities</t>
  </si>
  <si>
    <t>Consolidation Adjustment</t>
  </si>
  <si>
    <t>Other depository corporations</t>
  </si>
  <si>
    <t>Liabilities to residents</t>
  </si>
  <si>
    <t>Liabilities to non-residents</t>
  </si>
  <si>
    <t xml:space="preserve">    </t>
  </si>
  <si>
    <t>Lending Rate (monthly weighted avg) [%]**</t>
  </si>
  <si>
    <t>**International Reserves of the Bank of Namibia</t>
  </si>
  <si>
    <t xml:space="preserve">   Source: NSX</t>
  </si>
  <si>
    <t>Source: CBS &amp; STATSSA</t>
  </si>
  <si>
    <t>Securities other than shares (included in Broad Money)</t>
  </si>
  <si>
    <t>*  The consumer price inflation is based on the NCPI (nation wide CPI)</t>
  </si>
  <si>
    <t>Change in N$ mill</t>
  </si>
  <si>
    <t xml:space="preserve">   **International reserves</t>
  </si>
  <si>
    <t>One year</t>
  </si>
  <si>
    <t>One month</t>
  </si>
  <si>
    <t>** Average lending rate includes both interbank and intragroup rates</t>
  </si>
  <si>
    <t>Central Bank (N$ million)</t>
  </si>
  <si>
    <t>Other Depository Corporations (N$ million)</t>
  </si>
  <si>
    <t>Depository Corporations Survey (N$ million)</t>
  </si>
  <si>
    <t>Components of Money Supply (N$ million)</t>
  </si>
  <si>
    <t>Determinants of Money Supply (N$ million)</t>
  </si>
  <si>
    <t>Securities other than shares included in M2</t>
  </si>
  <si>
    <t>Securities other than shares excluded from M2</t>
  </si>
  <si>
    <t xml:space="preserve"> </t>
  </si>
  <si>
    <t xml:space="preserve">       International reserves** and exchange rates</t>
  </si>
  <si>
    <t>*Other sector = Private sector</t>
  </si>
  <si>
    <t>Other resident sectors (Individuals)</t>
  </si>
  <si>
    <t>Other non-financial corporations</t>
  </si>
  <si>
    <t xml:space="preserve">% Change </t>
  </si>
  <si>
    <t>% change</t>
  </si>
  <si>
    <t xml:space="preserve">% change </t>
  </si>
  <si>
    <t>Annual Percentage Change</t>
  </si>
  <si>
    <t>Monthly</t>
  </si>
  <si>
    <t>Domestic claims vs claims on other sectors (annual percentage changes)</t>
  </si>
  <si>
    <t>DevX</t>
  </si>
  <si>
    <t xml:space="preserve">    volume [000 shares]</t>
  </si>
  <si>
    <t>Unclassified shares and other equity</t>
  </si>
  <si>
    <t>Claims on other sectors</t>
  </si>
  <si>
    <t>State and local government</t>
  </si>
  <si>
    <t>Net Claims on central Government</t>
  </si>
  <si>
    <t>Public nonfinancial corporations</t>
  </si>
  <si>
    <t>Other nonfinancial corporations</t>
  </si>
  <si>
    <t>Total Claims on the Private Sector</t>
  </si>
  <si>
    <t>Other nonfinancial corporations (Businesses)</t>
  </si>
  <si>
    <t>Claims on nonresidents</t>
  </si>
  <si>
    <t>Liabilities to central government</t>
  </si>
  <si>
    <t>Other non financial corporations</t>
  </si>
  <si>
    <t>Other Assets</t>
  </si>
  <si>
    <t>Securities other than shars</t>
  </si>
  <si>
    <t>Deposits excluded from M2</t>
  </si>
  <si>
    <t>Financial Derivatives</t>
  </si>
  <si>
    <t>Shares and Equity</t>
  </si>
  <si>
    <t>Net Claims on the Central Government</t>
  </si>
  <si>
    <t>Claims on other Sectors</t>
  </si>
  <si>
    <t>Currency Outside Depository Corporations</t>
  </si>
  <si>
    <t>Transferable Deposits</t>
  </si>
  <si>
    <t>Other Deposits</t>
  </si>
  <si>
    <t>Other Liabilities</t>
  </si>
  <si>
    <t>Annual inflation (Namibia vs South Africa)</t>
  </si>
  <si>
    <t>EU per NAD</t>
  </si>
  <si>
    <t>One Month</t>
  </si>
  <si>
    <t>One Year</t>
  </si>
  <si>
    <t xml:space="preserve">  Namibia Stock Exchange</t>
  </si>
  <si>
    <t>Repo Rate [%]</t>
  </si>
  <si>
    <t>365-Day Treasury Bills</t>
  </si>
  <si>
    <t xml:space="preserve">Annual Percentage </t>
  </si>
  <si>
    <t>Change</t>
  </si>
  <si>
    <t xml:space="preserve">   </t>
  </si>
  <si>
    <t>Money Supply (annual  percentage changes)</t>
  </si>
  <si>
    <t xml:space="preserve"> Selected interest rates</t>
  </si>
  <si>
    <t>Money Supply (month-on-month  percentage changes)</t>
  </si>
  <si>
    <t xml:space="preserve">        Foreign  Reserves</t>
  </si>
  <si>
    <t>Claims on the Other sectors*  by the Other Depository Corporations (N$ million)</t>
  </si>
  <si>
    <t xml:space="preserve"> Monthly</t>
  </si>
  <si>
    <t>Domestic and other sectors claims (month-on-month  percentage changes)</t>
  </si>
  <si>
    <t>*** Not issued in April</t>
  </si>
  <si>
    <t>182-Day Treasury Bills**</t>
  </si>
  <si>
    <t>J</t>
  </si>
  <si>
    <t>F</t>
  </si>
  <si>
    <t>M</t>
  </si>
  <si>
    <t>A</t>
  </si>
  <si>
    <t>S</t>
  </si>
  <si>
    <t>O</t>
  </si>
  <si>
    <t>N</t>
  </si>
  <si>
    <t>D</t>
  </si>
  <si>
    <t>U.S Dollar/Namibia Dollar exchange rate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</si>
</sst>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  <numFmt numFmtId="175" formatCode="#,##0.0"/>
    <numFmt numFmtId="176" formatCode="_(* #,##0.0_);_(* \(#,##0.0\);_(* &quot;-&quot;??_);_(@_)"/>
    <numFmt numFmtId="177" formatCode="[$-409]mmm\-yy;@"/>
    <numFmt numFmtId="178" formatCode="[$-409]mmmm\-yy;@"/>
    <numFmt numFmtId="179" formatCode="#,##0.0_);\(#,##0.0\)"/>
    <numFmt numFmtId="180" formatCode="_(* #,##0.0000_);_(* \(#,##0.0000\);_(* &quot;-&quot;??_);_(@_)"/>
    <numFmt numFmtId="181" formatCode="#,##0.000000"/>
    <numFmt numFmtId="182" formatCode="0.0%"/>
    <numFmt numFmtId="183" formatCode="#,##0.0000"/>
    <numFmt numFmtId="184" formatCode="_ * #,##0.0000_ ;_ * \-#,##0.0000_ ;_ * &quot;-&quot;????_ ;_ @_ "/>
  </numFmts>
  <fonts count="107">
    <font>
      <sz val="8"/>
      <name val="Univers"/>
      <family val="0"/>
    </font>
    <font>
      <sz val="12"/>
      <name val="Univers"/>
      <family val="0"/>
    </font>
    <font>
      <b/>
      <sz val="12"/>
      <color indexed="61"/>
      <name val="Arial"/>
      <family val="2"/>
    </font>
    <font>
      <sz val="12"/>
      <color indexed="61"/>
      <name val="Arial"/>
      <family val="2"/>
    </font>
    <font>
      <sz val="8"/>
      <color indexed="61"/>
      <name val="Arial"/>
      <family val="2"/>
    </font>
    <font>
      <u val="single"/>
      <sz val="6"/>
      <color indexed="12"/>
      <name val="Univers"/>
      <family val="0"/>
    </font>
    <font>
      <u val="single"/>
      <sz val="6"/>
      <color indexed="36"/>
      <name val="Univers"/>
      <family val="0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61"/>
      <name val="Arial"/>
      <family val="2"/>
    </font>
    <font>
      <b/>
      <sz val="9"/>
      <color indexed="61"/>
      <name val="Arial"/>
      <family val="2"/>
    </font>
    <font>
      <sz val="9"/>
      <name val="Arial"/>
      <family val="2"/>
    </font>
    <font>
      <i/>
      <sz val="9"/>
      <color indexed="9"/>
      <name val="Arial"/>
      <family val="2"/>
    </font>
    <font>
      <sz val="8"/>
      <color indexed="9"/>
      <name val="Arial"/>
      <family val="2"/>
    </font>
    <font>
      <b/>
      <sz val="10"/>
      <color indexed="61"/>
      <name val="Univers"/>
      <family val="0"/>
    </font>
    <font>
      <sz val="8"/>
      <name val="Arial"/>
      <family val="2"/>
    </font>
    <font>
      <sz val="12"/>
      <name val="Arial"/>
      <family val="2"/>
    </font>
    <font>
      <sz val="10"/>
      <name val="Univers"/>
      <family val="0"/>
    </font>
    <font>
      <sz val="10"/>
      <color indexed="61"/>
      <name val="Univers"/>
      <family val="0"/>
    </font>
    <font>
      <b/>
      <sz val="9"/>
      <color indexed="37"/>
      <name val="Arial"/>
      <family val="2"/>
    </font>
    <font>
      <b/>
      <sz val="8"/>
      <color indexed="9"/>
      <name val="Arial"/>
      <family val="2"/>
    </font>
    <font>
      <sz val="24"/>
      <name val="Comic Sans MS"/>
      <family val="4"/>
    </font>
    <font>
      <sz val="26"/>
      <name val="Times New Roman"/>
      <family val="1"/>
    </font>
    <font>
      <b/>
      <i/>
      <sz val="24"/>
      <name val="Comic Sans MS"/>
      <family val="4"/>
    </font>
    <font>
      <b/>
      <i/>
      <sz val="26"/>
      <name val="Comic Sans MS"/>
      <family val="4"/>
    </font>
    <font>
      <b/>
      <sz val="26"/>
      <name val="Comic Sans MS"/>
      <family val="4"/>
    </font>
    <font>
      <b/>
      <sz val="8"/>
      <color indexed="61"/>
      <name val="Arial"/>
      <family val="2"/>
    </font>
    <font>
      <i/>
      <sz val="8"/>
      <color indexed="61"/>
      <name val="Arial"/>
      <family val="2"/>
    </font>
    <font>
      <sz val="8"/>
      <color indexed="61"/>
      <name val="Times New Roman"/>
      <family val="1"/>
    </font>
    <font>
      <sz val="8"/>
      <color indexed="61"/>
      <name val="Univers"/>
      <family val="0"/>
    </font>
    <font>
      <sz val="10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8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sz val="11"/>
      <color indexed="61"/>
      <name val="Arial"/>
      <family val="2"/>
    </font>
    <font>
      <sz val="11"/>
      <color indexed="37"/>
      <name val="Arial"/>
      <family val="2"/>
    </font>
    <font>
      <b/>
      <sz val="12"/>
      <name val="Arial"/>
      <family val="2"/>
    </font>
    <font>
      <b/>
      <i/>
      <sz val="22"/>
      <name val="Comic Sans MS"/>
      <family val="4"/>
    </font>
    <font>
      <sz val="8"/>
      <color indexed="37"/>
      <name val="Univers"/>
      <family val="0"/>
    </font>
    <font>
      <b/>
      <sz val="12"/>
      <color indexed="37"/>
      <name val="Arial"/>
      <family val="2"/>
    </font>
    <font>
      <b/>
      <sz val="14"/>
      <color indexed="37"/>
      <name val="Arial"/>
      <family val="2"/>
    </font>
    <font>
      <sz val="8"/>
      <color indexed="37"/>
      <name val="Arial"/>
      <family val="2"/>
    </font>
    <font>
      <sz val="8"/>
      <color indexed="16"/>
      <name val="Univers"/>
      <family val="0"/>
    </font>
    <font>
      <sz val="10"/>
      <name val="Arial"/>
      <family val="2"/>
    </font>
    <font>
      <u val="single"/>
      <sz val="8"/>
      <color indexed="61"/>
      <name val="Arial"/>
      <family val="2"/>
    </font>
    <font>
      <b/>
      <u val="single"/>
      <sz val="8"/>
      <color indexed="61"/>
      <name val="Arial"/>
      <family val="2"/>
    </font>
    <font>
      <b/>
      <sz val="16"/>
      <color indexed="61"/>
      <name val="Arial"/>
      <family val="2"/>
    </font>
    <font>
      <sz val="16"/>
      <color indexed="61"/>
      <name val="Arial"/>
      <family val="2"/>
    </font>
    <font>
      <sz val="10"/>
      <color indexed="37"/>
      <name val="Univers"/>
      <family val="0"/>
    </font>
    <font>
      <sz val="10"/>
      <color indexed="37"/>
      <name val="Arial"/>
      <family val="2"/>
    </font>
    <font>
      <b/>
      <sz val="8"/>
      <name val="Univers"/>
      <family val="0"/>
    </font>
    <font>
      <sz val="9"/>
      <color indexed="37"/>
      <name val="Arial"/>
      <family val="2"/>
    </font>
    <font>
      <i/>
      <sz val="9"/>
      <color indexed="61"/>
      <name val="Arial"/>
      <family val="2"/>
    </font>
    <font>
      <b/>
      <sz val="14"/>
      <color indexed="61"/>
      <name val="Arial"/>
      <family val="2"/>
    </font>
    <font>
      <sz val="14"/>
      <color indexed="61"/>
      <name val="Arial"/>
      <family val="2"/>
    </font>
    <font>
      <sz val="9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60"/>
      <name val="Univers"/>
      <family val="0"/>
    </font>
    <font>
      <sz val="8"/>
      <color indexed="25"/>
      <name val="Arial"/>
      <family val="2"/>
    </font>
    <font>
      <sz val="9"/>
      <color indexed="25"/>
      <name val="Arial"/>
      <family val="2"/>
    </font>
    <font>
      <sz val="9"/>
      <color indexed="25"/>
      <name val="Univers"/>
      <family val="0"/>
    </font>
    <font>
      <b/>
      <sz val="12"/>
      <color indexed="25"/>
      <name val="Arial"/>
      <family val="2"/>
    </font>
    <font>
      <b/>
      <sz val="8"/>
      <color indexed="9"/>
      <name val="Univers"/>
      <family val="0"/>
    </font>
    <font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5" tint="-0.24997000396251678"/>
      <name val="Univers"/>
      <family val="0"/>
    </font>
    <font>
      <sz val="8"/>
      <color rgb="FF993366"/>
      <name val="Arial"/>
      <family val="2"/>
    </font>
    <font>
      <sz val="9"/>
      <color rgb="FF993366"/>
      <name val="Arial"/>
      <family val="2"/>
    </font>
    <font>
      <sz val="9"/>
      <color rgb="FF993366"/>
      <name val="Univers"/>
      <family val="0"/>
    </font>
    <font>
      <b/>
      <sz val="12"/>
      <color rgb="FF993366"/>
      <name val="Arial"/>
      <family val="2"/>
    </font>
    <font>
      <b/>
      <sz val="8"/>
      <color theme="0"/>
      <name val="Arial"/>
      <family val="2"/>
    </font>
    <font>
      <b/>
      <sz val="8"/>
      <color theme="0"/>
      <name val="Univers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lightTrellis">
        <fgColor indexed="26"/>
        <bgColor indexed="26"/>
      </patternFill>
    </fill>
    <fill>
      <patternFill patternType="solid">
        <fgColor indexed="42"/>
        <bgColor indexed="64"/>
      </patternFill>
    </fill>
    <fill>
      <patternFill patternType="lightTrellis">
        <fgColor indexed="26"/>
        <bgColor rgb="FF99FFCC"/>
      </patternFill>
    </fill>
    <fill>
      <patternFill patternType="lightTrellis">
        <fgColor indexed="26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99336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0" applyNumberFormat="0" applyBorder="0" applyAlignment="0" applyProtection="0"/>
    <xf numFmtId="0" fontId="86" fillId="27" borderId="1" applyNumberFormat="0" applyAlignment="0" applyProtection="0"/>
    <xf numFmtId="0" fontId="8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3" fontId="31" fillId="0" borderId="0" applyProtection="0">
      <alignment/>
    </xf>
    <xf numFmtId="3" fontId="32" fillId="0" borderId="0" applyProtection="0">
      <alignment/>
    </xf>
    <xf numFmtId="3" fontId="33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34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35" fillId="0" borderId="0" applyProtection="0">
      <alignment/>
    </xf>
    <xf numFmtId="0" fontId="6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3" fillId="30" borderId="1" applyNumberFormat="0" applyAlignment="0" applyProtection="0"/>
    <xf numFmtId="0" fontId="94" fillId="0" borderId="6" applyNumberFormat="0" applyFill="0" applyAlignment="0" applyProtection="0"/>
    <xf numFmtId="0" fontId="95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6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7" applyNumberFormat="0" applyFont="0" applyAlignment="0" applyProtection="0"/>
    <xf numFmtId="0" fontId="96" fillId="27" borderId="8" applyNumberFormat="0" applyAlignment="0" applyProtection="0"/>
    <xf numFmtId="9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</cellStyleXfs>
  <cellXfs count="330">
    <xf numFmtId="0" fontId="0" fillId="0" borderId="0" xfId="0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11" fillId="0" borderId="0" xfId="0" applyFont="1" applyAlignment="1">
      <alignment horizontal="right"/>
    </xf>
    <xf numFmtId="171" fontId="11" fillId="0" borderId="0" xfId="42" applyFont="1" applyAlignment="1">
      <alignment/>
    </xf>
    <xf numFmtId="4" fontId="11" fillId="0" borderId="0" xfId="0" applyNumberFormat="1" applyFont="1" applyAlignment="1">
      <alignment/>
    </xf>
    <xf numFmtId="0" fontId="8" fillId="33" borderId="12" xfId="0" applyFont="1" applyFill="1" applyBorder="1" applyAlignment="1">
      <alignment/>
    </xf>
    <xf numFmtId="17" fontId="13" fillId="33" borderId="13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175" fontId="13" fillId="33" borderId="14" xfId="0" applyNumberFormat="1" applyFont="1" applyFill="1" applyBorder="1" applyAlignment="1">
      <alignment/>
    </xf>
    <xf numFmtId="175" fontId="4" fillId="0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78" fontId="24" fillId="0" borderId="0" xfId="0" applyNumberFormat="1" applyFont="1" applyAlignment="1">
      <alignment horizontal="center"/>
    </xf>
    <xf numFmtId="175" fontId="9" fillId="35" borderId="15" xfId="0" applyNumberFormat="1" applyFont="1" applyFill="1" applyBorder="1" applyAlignment="1">
      <alignment/>
    </xf>
    <xf numFmtId="0" fontId="15" fillId="0" borderId="0" xfId="0" applyFont="1" applyAlignment="1">
      <alignment/>
    </xf>
    <xf numFmtId="2" fontId="9" fillId="35" borderId="16" xfId="0" applyNumberFormat="1" applyFont="1" applyFill="1" applyBorder="1" applyAlignment="1">
      <alignment/>
    </xf>
    <xf numFmtId="2" fontId="9" fillId="35" borderId="15" xfId="0" applyNumberFormat="1" applyFont="1" applyFill="1" applyBorder="1" applyAlignment="1">
      <alignment/>
    </xf>
    <xf numFmtId="175" fontId="15" fillId="0" borderId="0" xfId="0" applyNumberFormat="1" applyFont="1" applyBorder="1" applyAlignment="1">
      <alignment/>
    </xf>
    <xf numFmtId="175" fontId="15" fillId="35" borderId="17" xfId="0" applyNumberFormat="1" applyFont="1" applyFill="1" applyBorder="1" applyAlignment="1">
      <alignment/>
    </xf>
    <xf numFmtId="17" fontId="4" fillId="36" borderId="17" xfId="0" applyNumberFormat="1" applyFont="1" applyFill="1" applyBorder="1" applyAlignment="1">
      <alignment/>
    </xf>
    <xf numFmtId="0" fontId="4" fillId="36" borderId="17" xfId="0" applyFont="1" applyFill="1" applyBorder="1" applyAlignment="1">
      <alignment/>
    </xf>
    <xf numFmtId="175" fontId="26" fillId="35" borderId="0" xfId="0" applyNumberFormat="1" applyFont="1" applyFill="1" applyBorder="1" applyAlignment="1">
      <alignment/>
    </xf>
    <xf numFmtId="0" fontId="26" fillId="35" borderId="18" xfId="0" applyFont="1" applyFill="1" applyBorder="1" applyAlignment="1">
      <alignment/>
    </xf>
    <xf numFmtId="175" fontId="26" fillId="35" borderId="18" xfId="0" applyNumberFormat="1" applyFont="1" applyFill="1" applyBorder="1" applyAlignment="1">
      <alignment/>
    </xf>
    <xf numFmtId="0" fontId="15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13" fillId="33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175" fontId="28" fillId="0" borderId="0" xfId="0" applyNumberFormat="1" applyFont="1" applyFill="1" applyBorder="1" applyAlignment="1">
      <alignment/>
    </xf>
    <xf numFmtId="172" fontId="28" fillId="0" borderId="0" xfId="0" applyNumberFormat="1" applyFont="1" applyFill="1" applyBorder="1" applyAlignment="1">
      <alignment/>
    </xf>
    <xf numFmtId="177" fontId="10" fillId="35" borderId="19" xfId="0" applyNumberFormat="1" applyFont="1" applyFill="1" applyBorder="1" applyAlignment="1">
      <alignment horizontal="center"/>
    </xf>
    <xf numFmtId="172" fontId="9" fillId="35" borderId="15" xfId="0" applyNumberFormat="1" applyFont="1" applyFill="1" applyBorder="1" applyAlignment="1">
      <alignment/>
    </xf>
    <xf numFmtId="179" fontId="0" fillId="0" borderId="0" xfId="0" applyNumberFormat="1" applyAlignment="1">
      <alignment/>
    </xf>
    <xf numFmtId="2" fontId="9" fillId="35" borderId="15" xfId="0" applyNumberFormat="1" applyFont="1" applyFill="1" applyBorder="1" applyAlignment="1">
      <alignment horizontal="right"/>
    </xf>
    <xf numFmtId="175" fontId="0" fillId="0" borderId="0" xfId="0" applyNumberFormat="1" applyAlignment="1">
      <alignment/>
    </xf>
    <xf numFmtId="0" fontId="29" fillId="0" borderId="0" xfId="0" applyFont="1" applyAlignment="1">
      <alignment/>
    </xf>
    <xf numFmtId="172" fontId="0" fillId="0" borderId="0" xfId="0" applyNumberFormat="1" applyAlignment="1">
      <alignment/>
    </xf>
    <xf numFmtId="0" fontId="29" fillId="0" borderId="0" xfId="0" applyFont="1" applyAlignment="1">
      <alignment horizontal="left"/>
    </xf>
    <xf numFmtId="175" fontId="26" fillId="35" borderId="0" xfId="121" applyNumberFormat="1" applyFont="1" applyFill="1" applyBorder="1">
      <alignment/>
      <protection/>
    </xf>
    <xf numFmtId="0" fontId="39" fillId="0" borderId="0" xfId="0" applyFont="1" applyAlignment="1">
      <alignment/>
    </xf>
    <xf numFmtId="0" fontId="26" fillId="35" borderId="20" xfId="121" applyFont="1" applyFill="1" applyBorder="1">
      <alignment/>
      <protection/>
    </xf>
    <xf numFmtId="0" fontId="13" fillId="33" borderId="13" xfId="0" applyFont="1" applyFill="1" applyBorder="1" applyAlignment="1">
      <alignment horizontal="right"/>
    </xf>
    <xf numFmtId="175" fontId="4" fillId="0" borderId="21" xfId="0" applyNumberFormat="1" applyFont="1" applyFill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1" fillId="0" borderId="0" xfId="0" applyFont="1" applyBorder="1" applyAlignment="1">
      <alignment/>
    </xf>
    <xf numFmtId="172" fontId="9" fillId="35" borderId="15" xfId="0" applyNumberFormat="1" applyFont="1" applyFill="1" applyBorder="1" applyAlignment="1">
      <alignment horizontal="right"/>
    </xf>
    <xf numFmtId="175" fontId="9" fillId="35" borderId="22" xfId="0" applyNumberFormat="1" applyFont="1" applyFill="1" applyBorder="1" applyAlignment="1">
      <alignment/>
    </xf>
    <xf numFmtId="175" fontId="9" fillId="35" borderId="16" xfId="0" applyNumberFormat="1" applyFont="1" applyFill="1" applyBorder="1" applyAlignment="1">
      <alignment/>
    </xf>
    <xf numFmtId="17" fontId="13" fillId="33" borderId="20" xfId="0" applyNumberFormat="1" applyFont="1" applyFill="1" applyBorder="1" applyAlignment="1">
      <alignment/>
    </xf>
    <xf numFmtId="0" fontId="13" fillId="33" borderId="23" xfId="0" applyFont="1" applyFill="1" applyBorder="1" applyAlignment="1">
      <alignment/>
    </xf>
    <xf numFmtId="0" fontId="13" fillId="33" borderId="24" xfId="0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26" fillId="35" borderId="11" xfId="0" applyFont="1" applyFill="1" applyBorder="1" applyAlignment="1">
      <alignment/>
    </xf>
    <xf numFmtId="175" fontId="26" fillId="35" borderId="26" xfId="0" applyNumberFormat="1" applyFont="1" applyFill="1" applyBorder="1" applyAlignment="1">
      <alignment/>
    </xf>
    <xf numFmtId="0" fontId="27" fillId="35" borderId="11" xfId="0" applyFont="1" applyFill="1" applyBorder="1" applyAlignment="1">
      <alignment horizontal="left" indent="1"/>
    </xf>
    <xf numFmtId="0" fontId="4" fillId="35" borderId="11" xfId="0" applyFont="1" applyFill="1" applyBorder="1" applyAlignment="1">
      <alignment horizontal="left" indent="1"/>
    </xf>
    <xf numFmtId="0" fontId="26" fillId="35" borderId="12" xfId="0" applyFont="1" applyFill="1" applyBorder="1" applyAlignment="1">
      <alignment/>
    </xf>
    <xf numFmtId="175" fontId="26" fillId="35" borderId="27" xfId="0" applyNumberFormat="1" applyFont="1" applyFill="1" applyBorder="1" applyAlignment="1">
      <alignment/>
    </xf>
    <xf numFmtId="0" fontId="15" fillId="35" borderId="28" xfId="0" applyFont="1" applyFill="1" applyBorder="1" applyAlignment="1">
      <alignment/>
    </xf>
    <xf numFmtId="0" fontId="27" fillId="35" borderId="12" xfId="0" applyFont="1" applyFill="1" applyBorder="1" applyAlignment="1">
      <alignment horizontal="left" indent="1"/>
    </xf>
    <xf numFmtId="0" fontId="4" fillId="36" borderId="28" xfId="0" applyFont="1" applyFill="1" applyBorder="1" applyAlignment="1">
      <alignment/>
    </xf>
    <xf numFmtId="0" fontId="26" fillId="35" borderId="11" xfId="0" applyFont="1" applyFill="1" applyBorder="1" applyAlignment="1">
      <alignment horizontal="left" indent="2"/>
    </xf>
    <xf numFmtId="0" fontId="27" fillId="37" borderId="11" xfId="0" applyFont="1" applyFill="1" applyBorder="1" applyAlignment="1">
      <alignment horizontal="left" indent="2"/>
    </xf>
    <xf numFmtId="0" fontId="4" fillId="35" borderId="11" xfId="0" applyFont="1" applyFill="1" applyBorder="1" applyAlignment="1">
      <alignment horizontal="left" indent="3"/>
    </xf>
    <xf numFmtId="0" fontId="4" fillId="35" borderId="11" xfId="0" applyFont="1" applyFill="1" applyBorder="1" applyAlignment="1">
      <alignment horizontal="left" indent="4"/>
    </xf>
    <xf numFmtId="17" fontId="4" fillId="36" borderId="17" xfId="0" applyNumberFormat="1" applyFont="1" applyFill="1" applyBorder="1" applyAlignment="1">
      <alignment horizontal="right"/>
    </xf>
    <xf numFmtId="0" fontId="38" fillId="0" borderId="0" xfId="0" applyFont="1" applyAlignment="1">
      <alignment/>
    </xf>
    <xf numFmtId="0" fontId="36" fillId="0" borderId="18" xfId="0" applyFont="1" applyBorder="1" applyAlignment="1">
      <alignment horizontal="center"/>
    </xf>
    <xf numFmtId="0" fontId="38" fillId="34" borderId="18" xfId="0" applyFont="1" applyFill="1" applyBorder="1" applyAlignment="1">
      <alignment/>
    </xf>
    <xf numFmtId="0" fontId="36" fillId="0" borderId="18" xfId="0" applyFont="1" applyBorder="1" applyAlignment="1">
      <alignment/>
    </xf>
    <xf numFmtId="0" fontId="36" fillId="34" borderId="18" xfId="0" applyFont="1" applyFill="1" applyBorder="1" applyAlignment="1">
      <alignment/>
    </xf>
    <xf numFmtId="2" fontId="36" fillId="0" borderId="18" xfId="0" applyNumberFormat="1" applyFont="1" applyBorder="1" applyAlignment="1">
      <alignment/>
    </xf>
    <xf numFmtId="0" fontId="43" fillId="0" borderId="0" xfId="0" applyFont="1" applyAlignment="1">
      <alignment horizontal="left"/>
    </xf>
    <xf numFmtId="0" fontId="2" fillId="34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5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8" fillId="34" borderId="0" xfId="0" applyFont="1" applyFill="1" applyBorder="1" applyAlignment="1">
      <alignment/>
    </xf>
    <xf numFmtId="0" fontId="36" fillId="0" borderId="0" xfId="0" applyFont="1" applyBorder="1" applyAlignment="1">
      <alignment/>
    </xf>
    <xf numFmtId="0" fontId="36" fillId="34" borderId="0" xfId="0" applyFont="1" applyFill="1" applyBorder="1" applyAlignment="1">
      <alignment/>
    </xf>
    <xf numFmtId="2" fontId="3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3" fillId="33" borderId="14" xfId="0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26" fillId="35" borderId="11" xfId="121" applyFont="1" applyFill="1" applyBorder="1">
      <alignment/>
      <protection/>
    </xf>
    <xf numFmtId="0" fontId="27" fillId="35" borderId="11" xfId="121" applyFont="1" applyFill="1" applyBorder="1" applyAlignment="1">
      <alignment horizontal="left" indent="1"/>
      <protection/>
    </xf>
    <xf numFmtId="0" fontId="26" fillId="35" borderId="11" xfId="121" applyFont="1" applyFill="1" applyBorder="1" applyAlignment="1">
      <alignment horizontal="left"/>
      <protection/>
    </xf>
    <xf numFmtId="175" fontId="27" fillId="35" borderId="11" xfId="121" applyNumberFormat="1" applyFont="1" applyFill="1" applyBorder="1" applyAlignment="1">
      <alignment horizontal="left" indent="1"/>
      <protection/>
    </xf>
    <xf numFmtId="175" fontId="4" fillId="35" borderId="11" xfId="121" applyNumberFormat="1" applyFont="1" applyFill="1" applyBorder="1">
      <alignment/>
      <protection/>
    </xf>
    <xf numFmtId="175" fontId="26" fillId="35" borderId="12" xfId="121" applyNumberFormat="1" applyFont="1" applyFill="1" applyBorder="1">
      <alignment/>
      <protection/>
    </xf>
    <xf numFmtId="175" fontId="26" fillId="35" borderId="11" xfId="0" applyNumberFormat="1" applyFont="1" applyFill="1" applyBorder="1" applyAlignment="1">
      <alignment/>
    </xf>
    <xf numFmtId="175" fontId="27" fillId="35" borderId="11" xfId="0" applyNumberFormat="1" applyFont="1" applyFill="1" applyBorder="1" applyAlignment="1">
      <alignment horizontal="left" indent="1"/>
    </xf>
    <xf numFmtId="175" fontId="27" fillId="35" borderId="11" xfId="0" applyNumberFormat="1" applyFont="1" applyFill="1" applyBorder="1" applyAlignment="1">
      <alignment horizontal="left"/>
    </xf>
    <xf numFmtId="175" fontId="26" fillId="35" borderId="11" xfId="0" applyNumberFormat="1" applyFont="1" applyFill="1" applyBorder="1" applyAlignment="1">
      <alignment horizontal="left" indent="2"/>
    </xf>
    <xf numFmtId="175" fontId="26" fillId="35" borderId="11" xfId="0" applyNumberFormat="1" applyFont="1" applyFill="1" applyBorder="1" applyAlignment="1">
      <alignment horizontal="left"/>
    </xf>
    <xf numFmtId="175" fontId="4" fillId="35" borderId="11" xfId="0" applyNumberFormat="1" applyFont="1" applyFill="1" applyBorder="1" applyAlignment="1">
      <alignment horizontal="left" indent="2"/>
    </xf>
    <xf numFmtId="175" fontId="4" fillId="35" borderId="11" xfId="0" applyNumberFormat="1" applyFont="1" applyFill="1" applyBorder="1" applyAlignment="1">
      <alignment/>
    </xf>
    <xf numFmtId="175" fontId="27" fillId="35" borderId="12" xfId="0" applyNumberFormat="1" applyFont="1" applyFill="1" applyBorder="1" applyAlignment="1">
      <alignment horizontal="left" indent="1"/>
    </xf>
    <xf numFmtId="175" fontId="26" fillId="35" borderId="18" xfId="121" applyNumberFormat="1" applyFont="1" applyFill="1" applyBorder="1">
      <alignment/>
      <protection/>
    </xf>
    <xf numFmtId="0" fontId="4" fillId="35" borderId="12" xfId="0" applyFont="1" applyFill="1" applyBorder="1" applyAlignment="1">
      <alignment/>
    </xf>
    <xf numFmtId="0" fontId="15" fillId="0" borderId="30" xfId="0" applyFont="1" applyBorder="1" applyAlignment="1">
      <alignment/>
    </xf>
    <xf numFmtId="0" fontId="13" fillId="33" borderId="31" xfId="0" applyFont="1" applyFill="1" applyBorder="1" applyAlignment="1">
      <alignment horizontal="center"/>
    </xf>
    <xf numFmtId="0" fontId="13" fillId="33" borderId="32" xfId="0" applyFont="1" applyFill="1" applyBorder="1" applyAlignment="1">
      <alignment horizontal="center"/>
    </xf>
    <xf numFmtId="0" fontId="44" fillId="0" borderId="0" xfId="0" applyFont="1" applyAlignment="1">
      <alignment/>
    </xf>
    <xf numFmtId="46" fontId="13" fillId="33" borderId="31" xfId="0" applyNumberFormat="1" applyFont="1" applyFill="1" applyBorder="1" applyAlignment="1">
      <alignment horizontal="center"/>
    </xf>
    <xf numFmtId="0" fontId="15" fillId="0" borderId="21" xfId="0" applyFont="1" applyBorder="1" applyAlignment="1">
      <alignment/>
    </xf>
    <xf numFmtId="0" fontId="45" fillId="0" borderId="0" xfId="0" applyFont="1" applyAlignment="1">
      <alignment/>
    </xf>
    <xf numFmtId="171" fontId="9" fillId="35" borderId="15" xfId="42" applyFont="1" applyFill="1" applyBorder="1" applyAlignment="1">
      <alignment horizontal="right"/>
    </xf>
    <xf numFmtId="171" fontId="9" fillId="35" borderId="15" xfId="42" applyFont="1" applyFill="1" applyBorder="1" applyAlignment="1">
      <alignment/>
    </xf>
    <xf numFmtId="175" fontId="26" fillId="35" borderId="0" xfId="114" applyNumberFormat="1" applyFont="1" applyFill="1" applyBorder="1">
      <alignment/>
      <protection/>
    </xf>
    <xf numFmtId="175" fontId="4" fillId="35" borderId="0" xfId="114" applyNumberFormat="1" applyFont="1" applyFill="1" applyBorder="1">
      <alignment/>
      <protection/>
    </xf>
    <xf numFmtId="0" fontId="4" fillId="35" borderId="0" xfId="114" applyFont="1" applyFill="1" applyBorder="1">
      <alignment/>
      <protection/>
    </xf>
    <xf numFmtId="175" fontId="26" fillId="35" borderId="18" xfId="114" applyNumberFormat="1" applyFont="1" applyFill="1" applyBorder="1">
      <alignment/>
      <protection/>
    </xf>
    <xf numFmtId="175" fontId="4" fillId="35" borderId="0" xfId="114" applyNumberFormat="1" applyFont="1" applyFill="1" applyBorder="1" applyAlignment="1">
      <alignment horizontal="right"/>
      <protection/>
    </xf>
    <xf numFmtId="175" fontId="4" fillId="35" borderId="17" xfId="114" applyNumberFormat="1" applyFont="1" applyFill="1" applyBorder="1">
      <alignment/>
      <protection/>
    </xf>
    <xf numFmtId="0" fontId="4" fillId="35" borderId="17" xfId="114" applyFont="1" applyFill="1" applyBorder="1">
      <alignment/>
      <protection/>
    </xf>
    <xf numFmtId="175" fontId="26" fillId="35" borderId="18" xfId="114" applyNumberFormat="1" applyFont="1" applyFill="1" applyBorder="1" applyAlignment="1">
      <alignment horizontal="right"/>
      <protection/>
    </xf>
    <xf numFmtId="175" fontId="26" fillId="35" borderId="0" xfId="114" applyNumberFormat="1" applyFont="1" applyFill="1" applyBorder="1" applyAlignment="1">
      <alignment horizontal="right"/>
      <protection/>
    </xf>
    <xf numFmtId="175" fontId="26" fillId="35" borderId="0" xfId="119" applyNumberFormat="1" applyFont="1" applyFill="1" applyBorder="1">
      <alignment/>
      <protection/>
    </xf>
    <xf numFmtId="172" fontId="26" fillId="35" borderId="0" xfId="119" applyNumberFormat="1" applyFont="1" applyFill="1" applyBorder="1">
      <alignment/>
      <protection/>
    </xf>
    <xf numFmtId="175" fontId="4" fillId="35" borderId="0" xfId="119" applyNumberFormat="1" applyFont="1" applyFill="1" applyBorder="1">
      <alignment/>
      <protection/>
    </xf>
    <xf numFmtId="172" fontId="4" fillId="35" borderId="0" xfId="119" applyNumberFormat="1" applyFont="1" applyFill="1" applyBorder="1">
      <alignment/>
      <protection/>
    </xf>
    <xf numFmtId="175" fontId="26" fillId="35" borderId="20" xfId="119" applyNumberFormat="1" applyFont="1" applyFill="1" applyBorder="1">
      <alignment/>
      <protection/>
    </xf>
    <xf numFmtId="175" fontId="26" fillId="35" borderId="33" xfId="119" applyNumberFormat="1" applyFont="1" applyFill="1" applyBorder="1">
      <alignment/>
      <protection/>
    </xf>
    <xf numFmtId="175" fontId="4" fillId="35" borderId="0" xfId="120" applyNumberFormat="1" applyFont="1" applyFill="1" applyBorder="1">
      <alignment/>
      <protection/>
    </xf>
    <xf numFmtId="175" fontId="26" fillId="35" borderId="18" xfId="120" applyNumberFormat="1" applyFont="1" applyFill="1" applyBorder="1">
      <alignment/>
      <protection/>
    </xf>
    <xf numFmtId="175" fontId="26" fillId="36" borderId="0" xfId="109" applyNumberFormat="1" applyFont="1" applyFill="1" applyBorder="1">
      <alignment/>
      <protection/>
    </xf>
    <xf numFmtId="175" fontId="4" fillId="36" borderId="0" xfId="109" applyNumberFormat="1" applyFont="1" applyFill="1" applyBorder="1">
      <alignment/>
      <protection/>
    </xf>
    <xf numFmtId="175" fontId="4" fillId="36" borderId="0" xfId="109" applyNumberFormat="1" applyFont="1" applyFill="1" applyBorder="1" applyAlignment="1">
      <alignment horizontal="right"/>
      <protection/>
    </xf>
    <xf numFmtId="179" fontId="4" fillId="35" borderId="0" xfId="50" applyNumberFormat="1" applyFont="1" applyFill="1" applyBorder="1" applyAlignment="1">
      <alignment horizontal="right"/>
    </xf>
    <xf numFmtId="179" fontId="4" fillId="36" borderId="0" xfId="50" applyNumberFormat="1" applyFont="1" applyFill="1" applyBorder="1" applyAlignment="1">
      <alignment horizontal="right"/>
    </xf>
    <xf numFmtId="175" fontId="26" fillId="35" borderId="0" xfId="110" applyNumberFormat="1" applyFont="1" applyFill="1" applyBorder="1">
      <alignment/>
      <protection/>
    </xf>
    <xf numFmtId="172" fontId="26" fillId="35" borderId="0" xfId="110" applyNumberFormat="1" applyFont="1" applyFill="1" applyBorder="1">
      <alignment/>
      <protection/>
    </xf>
    <xf numFmtId="175" fontId="4" fillId="35" borderId="0" xfId="110" applyNumberFormat="1" applyFont="1" applyFill="1" applyBorder="1">
      <alignment/>
      <protection/>
    </xf>
    <xf numFmtId="172" fontId="4" fillId="35" borderId="0" xfId="110" applyNumberFormat="1" applyFont="1" applyFill="1" applyBorder="1">
      <alignment/>
      <protection/>
    </xf>
    <xf numFmtId="175" fontId="26" fillId="35" borderId="0" xfId="111" applyNumberFormat="1" applyFont="1" applyFill="1" applyBorder="1">
      <alignment/>
      <protection/>
    </xf>
    <xf numFmtId="172" fontId="26" fillId="35" borderId="0" xfId="111" applyNumberFormat="1" applyFont="1" applyFill="1" applyBorder="1">
      <alignment/>
      <protection/>
    </xf>
    <xf numFmtId="175" fontId="4" fillId="35" borderId="0" xfId="111" applyNumberFormat="1" applyFont="1" applyFill="1" applyBorder="1">
      <alignment/>
      <protection/>
    </xf>
    <xf numFmtId="172" fontId="4" fillId="35" borderId="0" xfId="111" applyNumberFormat="1" applyFont="1" applyFill="1" applyBorder="1">
      <alignment/>
      <protection/>
    </xf>
    <xf numFmtId="175" fontId="26" fillId="35" borderId="18" xfId="111" applyNumberFormat="1" applyFont="1" applyFill="1" applyBorder="1">
      <alignment/>
      <protection/>
    </xf>
    <xf numFmtId="0" fontId="100" fillId="0" borderId="0" xfId="0" applyFont="1" applyAlignment="1">
      <alignment/>
    </xf>
    <xf numFmtId="179" fontId="4" fillId="38" borderId="0" xfId="50" applyNumberFormat="1" applyFont="1" applyFill="1" applyBorder="1" applyAlignment="1">
      <alignment horizontal="right"/>
    </xf>
    <xf numFmtId="175" fontId="4" fillId="38" borderId="0" xfId="109" applyNumberFormat="1" applyFont="1" applyFill="1" applyBorder="1">
      <alignment/>
      <protection/>
    </xf>
    <xf numFmtId="175" fontId="4" fillId="38" borderId="18" xfId="109" applyNumberFormat="1" applyFont="1" applyFill="1" applyBorder="1">
      <alignment/>
      <protection/>
    </xf>
    <xf numFmtId="175" fontId="47" fillId="35" borderId="18" xfId="111" applyNumberFormat="1" applyFont="1" applyFill="1" applyBorder="1">
      <alignment/>
      <protection/>
    </xf>
    <xf numFmtId="175" fontId="48" fillId="35" borderId="18" xfId="111" applyNumberFormat="1" applyFont="1" applyFill="1" applyBorder="1">
      <alignment/>
      <protection/>
    </xf>
    <xf numFmtId="172" fontId="48" fillId="35" borderId="18" xfId="111" applyNumberFormat="1" applyFont="1" applyFill="1" applyBorder="1">
      <alignment/>
      <protection/>
    </xf>
    <xf numFmtId="17" fontId="13" fillId="33" borderId="34" xfId="0" applyNumberFormat="1" applyFont="1" applyFill="1" applyBorder="1" applyAlignment="1">
      <alignment/>
    </xf>
    <xf numFmtId="172" fontId="26" fillId="35" borderId="26" xfId="119" applyNumberFormat="1" applyFont="1" applyFill="1" applyBorder="1">
      <alignment/>
      <protection/>
    </xf>
    <xf numFmtId="172" fontId="4" fillId="35" borderId="26" xfId="119" applyNumberFormat="1" applyFont="1" applyFill="1" applyBorder="1">
      <alignment/>
      <protection/>
    </xf>
    <xf numFmtId="175" fontId="26" fillId="35" borderId="18" xfId="119" applyNumberFormat="1" applyFont="1" applyFill="1" applyBorder="1">
      <alignment/>
      <protection/>
    </xf>
    <xf numFmtId="172" fontId="26" fillId="35" borderId="18" xfId="119" applyNumberFormat="1" applyFont="1" applyFill="1" applyBorder="1">
      <alignment/>
      <protection/>
    </xf>
    <xf numFmtId="172" fontId="26" fillId="35" borderId="27" xfId="119" applyNumberFormat="1" applyFont="1" applyFill="1" applyBorder="1">
      <alignment/>
      <protection/>
    </xf>
    <xf numFmtId="172" fontId="26" fillId="35" borderId="26" xfId="110" applyNumberFormat="1" applyFont="1" applyFill="1" applyBorder="1">
      <alignment/>
      <protection/>
    </xf>
    <xf numFmtId="172" fontId="4" fillId="35" borderId="26" xfId="110" applyNumberFormat="1" applyFont="1" applyFill="1" applyBorder="1">
      <alignment/>
      <protection/>
    </xf>
    <xf numFmtId="175" fontId="4" fillId="35" borderId="26" xfId="120" applyNumberFormat="1" applyFont="1" applyFill="1" applyBorder="1">
      <alignment/>
      <protection/>
    </xf>
    <xf numFmtId="175" fontId="26" fillId="35" borderId="27" xfId="120" applyNumberFormat="1" applyFont="1" applyFill="1" applyBorder="1">
      <alignment/>
      <protection/>
    </xf>
    <xf numFmtId="172" fontId="26" fillId="35" borderId="26" xfId="111" applyNumberFormat="1" applyFont="1" applyFill="1" applyBorder="1">
      <alignment/>
      <protection/>
    </xf>
    <xf numFmtId="172" fontId="4" fillId="35" borderId="26" xfId="111" applyNumberFormat="1" applyFont="1" applyFill="1" applyBorder="1">
      <alignment/>
      <protection/>
    </xf>
    <xf numFmtId="172" fontId="48" fillId="35" borderId="27" xfId="111" applyNumberFormat="1" applyFont="1" applyFill="1" applyBorder="1">
      <alignment/>
      <protection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7" fillId="32" borderId="11" xfId="0" applyFont="1" applyFill="1" applyBorder="1" applyAlignment="1">
      <alignment horizontal="left" indent="2"/>
    </xf>
    <xf numFmtId="175" fontId="4" fillId="39" borderId="0" xfId="109" applyNumberFormat="1" applyFont="1" applyFill="1" applyBorder="1">
      <alignment/>
      <protection/>
    </xf>
    <xf numFmtId="0" fontId="101" fillId="0" borderId="0" xfId="0" applyFont="1" applyAlignment="1">
      <alignment/>
    </xf>
    <xf numFmtId="0" fontId="51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181" fontId="0" fillId="0" borderId="0" xfId="0" applyNumberFormat="1" applyAlignment="1">
      <alignment/>
    </xf>
    <xf numFmtId="175" fontId="4" fillId="38" borderId="18" xfId="109" applyNumberFormat="1" applyFont="1" applyFill="1" applyBorder="1" applyAlignment="1">
      <alignment horizontal="right"/>
      <protection/>
    </xf>
    <xf numFmtId="171" fontId="15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182" fontId="0" fillId="0" borderId="0" xfId="124" applyNumberFormat="1" applyFont="1" applyAlignment="1">
      <alignment/>
    </xf>
    <xf numFmtId="0" fontId="53" fillId="0" borderId="0" xfId="0" applyFont="1" applyAlignment="1">
      <alignment/>
    </xf>
    <xf numFmtId="172" fontId="26" fillId="0" borderId="0" xfId="110" applyNumberFormat="1" applyFont="1" applyFill="1" applyBorder="1">
      <alignment/>
      <protection/>
    </xf>
    <xf numFmtId="175" fontId="13" fillId="33" borderId="35" xfId="0" applyNumberFormat="1" applyFont="1" applyFill="1" applyBorder="1" applyAlignment="1">
      <alignment/>
    </xf>
    <xf numFmtId="175" fontId="13" fillId="33" borderId="33" xfId="0" applyNumberFormat="1" applyFont="1" applyFill="1" applyBorder="1" applyAlignment="1">
      <alignment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7" fillId="33" borderId="16" xfId="0" applyFont="1" applyFill="1" applyBorder="1" applyAlignment="1">
      <alignment horizontal="center"/>
    </xf>
    <xf numFmtId="17" fontId="7" fillId="33" borderId="15" xfId="0" applyNumberFormat="1" applyFont="1" applyFill="1" applyBorder="1" applyAlignment="1">
      <alignment horizontal="center"/>
    </xf>
    <xf numFmtId="17" fontId="7" fillId="33" borderId="26" xfId="0" applyNumberFormat="1" applyFont="1" applyFill="1" applyBorder="1" applyAlignment="1">
      <alignment horizontal="center"/>
    </xf>
    <xf numFmtId="17" fontId="7" fillId="33" borderId="19" xfId="0" applyNumberFormat="1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54" fillId="35" borderId="15" xfId="0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/>
    </xf>
    <xf numFmtId="0" fontId="54" fillId="35" borderId="15" xfId="0" applyFont="1" applyFill="1" applyBorder="1" applyAlignment="1">
      <alignment/>
    </xf>
    <xf numFmtId="0" fontId="54" fillId="35" borderId="26" xfId="0" applyFont="1" applyFill="1" applyBorder="1" applyAlignment="1">
      <alignment/>
    </xf>
    <xf numFmtId="0" fontId="11" fillId="35" borderId="26" xfId="0" applyFont="1" applyFill="1" applyBorder="1" applyAlignment="1">
      <alignment/>
    </xf>
    <xf numFmtId="0" fontId="11" fillId="35" borderId="15" xfId="0" applyFont="1" applyFill="1" applyBorder="1" applyAlignment="1">
      <alignment/>
    </xf>
    <xf numFmtId="17" fontId="7" fillId="35" borderId="15" xfId="0" applyNumberFormat="1" applyFont="1" applyFill="1" applyBorder="1" applyAlignment="1">
      <alignment horizontal="center"/>
    </xf>
    <xf numFmtId="175" fontId="54" fillId="35" borderId="15" xfId="0" applyNumberFormat="1" applyFont="1" applyFill="1" applyBorder="1" applyAlignment="1">
      <alignment horizontal="center"/>
    </xf>
    <xf numFmtId="172" fontId="54" fillId="35" borderId="15" xfId="0" applyNumberFormat="1" applyFont="1" applyFill="1" applyBorder="1" applyAlignment="1">
      <alignment/>
    </xf>
    <xf numFmtId="172" fontId="54" fillId="35" borderId="15" xfId="0" applyNumberFormat="1" applyFont="1" applyFill="1" applyBorder="1" applyAlignment="1">
      <alignment horizontal="right"/>
    </xf>
    <xf numFmtId="172" fontId="54" fillId="35" borderId="26" xfId="0" applyNumberFormat="1" applyFont="1" applyFill="1" applyBorder="1" applyAlignment="1">
      <alignment/>
    </xf>
    <xf numFmtId="172" fontId="54" fillId="35" borderId="26" xfId="0" applyNumberFormat="1" applyFont="1" applyFill="1" applyBorder="1" applyAlignment="1">
      <alignment horizontal="right"/>
    </xf>
    <xf numFmtId="172" fontId="54" fillId="35" borderId="15" xfId="0" applyNumberFormat="1" applyFont="1" applyFill="1" applyBorder="1" applyAlignment="1">
      <alignment/>
    </xf>
    <xf numFmtId="172" fontId="102" fillId="35" borderId="15" xfId="0" applyNumberFormat="1" applyFont="1" applyFill="1" applyBorder="1" applyAlignment="1">
      <alignment/>
    </xf>
    <xf numFmtId="176" fontId="102" fillId="35" borderId="15" xfId="42" applyNumberFormat="1" applyFont="1" applyFill="1" applyBorder="1" applyAlignment="1">
      <alignment horizontal="right"/>
    </xf>
    <xf numFmtId="171" fontId="102" fillId="35" borderId="15" xfId="42" applyNumberFormat="1" applyFont="1" applyFill="1" applyBorder="1" applyAlignment="1">
      <alignment horizontal="right"/>
    </xf>
    <xf numFmtId="172" fontId="54" fillId="35" borderId="15" xfId="0" applyNumberFormat="1" applyFont="1" applyFill="1" applyBorder="1" applyAlignment="1">
      <alignment horizontal="center"/>
    </xf>
    <xf numFmtId="172" fontId="54" fillId="35" borderId="26" xfId="0" applyNumberFormat="1" applyFont="1" applyFill="1" applyBorder="1" applyAlignment="1">
      <alignment horizontal="center"/>
    </xf>
    <xf numFmtId="172" fontId="102" fillId="35" borderId="15" xfId="0" applyNumberFormat="1" applyFont="1" applyFill="1" applyBorder="1" applyAlignment="1">
      <alignment horizontal="right"/>
    </xf>
    <xf numFmtId="175" fontId="102" fillId="35" borderId="15" xfId="42" applyNumberFormat="1" applyFont="1" applyFill="1" applyBorder="1" applyAlignment="1">
      <alignment horizontal="right"/>
    </xf>
    <xf numFmtId="2" fontId="102" fillId="35" borderId="15" xfId="42" applyNumberFormat="1" applyFont="1" applyFill="1" applyBorder="1" applyAlignment="1">
      <alignment horizontal="right"/>
    </xf>
    <xf numFmtId="171" fontId="102" fillId="35" borderId="15" xfId="42" applyFont="1" applyFill="1" applyBorder="1" applyAlignment="1">
      <alignment horizontal="right"/>
    </xf>
    <xf numFmtId="4" fontId="102" fillId="35" borderId="15" xfId="42" applyNumberFormat="1" applyFont="1" applyFill="1" applyBorder="1" applyAlignment="1">
      <alignment horizontal="right"/>
    </xf>
    <xf numFmtId="0" fontId="102" fillId="35" borderId="15" xfId="0" applyFont="1" applyFill="1" applyBorder="1" applyAlignment="1">
      <alignment/>
    </xf>
    <xf numFmtId="171" fontId="102" fillId="35" borderId="15" xfId="0" applyNumberFormat="1" applyFont="1" applyFill="1" applyBorder="1" applyAlignment="1">
      <alignment/>
    </xf>
    <xf numFmtId="0" fontId="54" fillId="35" borderId="15" xfId="0" applyFont="1" applyFill="1" applyBorder="1" applyAlignment="1">
      <alignment horizontal="right"/>
    </xf>
    <xf numFmtId="173" fontId="54" fillId="35" borderId="15" xfId="0" applyNumberFormat="1" applyFont="1" applyFill="1" applyBorder="1" applyAlignment="1">
      <alignment/>
    </xf>
    <xf numFmtId="173" fontId="102" fillId="35" borderId="15" xfId="0" applyNumberFormat="1" applyFont="1" applyFill="1" applyBorder="1" applyAlignment="1">
      <alignment/>
    </xf>
    <xf numFmtId="180" fontId="102" fillId="35" borderId="15" xfId="0" applyNumberFormat="1" applyFont="1" applyFill="1" applyBorder="1" applyAlignment="1">
      <alignment/>
    </xf>
    <xf numFmtId="180" fontId="102" fillId="35" borderId="15" xfId="42" applyNumberFormat="1" applyFont="1" applyFill="1" applyBorder="1" applyAlignment="1">
      <alignment horizontal="right"/>
    </xf>
    <xf numFmtId="173" fontId="54" fillId="35" borderId="15" xfId="0" applyNumberFormat="1" applyFont="1" applyFill="1" applyBorder="1" applyAlignment="1">
      <alignment horizontal="center"/>
    </xf>
    <xf numFmtId="173" fontId="54" fillId="35" borderId="15" xfId="0" applyNumberFormat="1" applyFont="1" applyFill="1" applyBorder="1" applyAlignment="1">
      <alignment horizontal="right"/>
    </xf>
    <xf numFmtId="173" fontId="54" fillId="35" borderId="26" xfId="0" applyNumberFormat="1" applyFont="1" applyFill="1" applyBorder="1" applyAlignment="1">
      <alignment horizontal="right"/>
    </xf>
    <xf numFmtId="173" fontId="102" fillId="35" borderId="15" xfId="0" applyNumberFormat="1" applyFont="1" applyFill="1" applyBorder="1" applyAlignment="1">
      <alignment horizontal="right"/>
    </xf>
    <xf numFmtId="0" fontId="54" fillId="34" borderId="15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left" indent="10"/>
    </xf>
    <xf numFmtId="0" fontId="8" fillId="34" borderId="15" xfId="0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/>
    </xf>
    <xf numFmtId="0" fontId="54" fillId="34" borderId="15" xfId="0" applyFont="1" applyFill="1" applyBorder="1" applyAlignment="1">
      <alignment/>
    </xf>
    <xf numFmtId="0" fontId="11" fillId="34" borderId="15" xfId="0" applyFont="1" applyFill="1" applyBorder="1" applyAlignment="1">
      <alignment/>
    </xf>
    <xf numFmtId="0" fontId="11" fillId="34" borderId="26" xfId="0" applyFont="1" applyFill="1" applyBorder="1" applyAlignment="1">
      <alignment/>
    </xf>
    <xf numFmtId="0" fontId="11" fillId="0" borderId="15" xfId="0" applyFont="1" applyBorder="1" applyAlignment="1">
      <alignment/>
    </xf>
    <xf numFmtId="2" fontId="11" fillId="0" borderId="15" xfId="0" applyNumberFormat="1" applyFont="1" applyBorder="1" applyAlignment="1">
      <alignment/>
    </xf>
    <xf numFmtId="0" fontId="55" fillId="0" borderId="15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0" fontId="11" fillId="0" borderId="26" xfId="0" applyFont="1" applyBorder="1" applyAlignment="1">
      <alignment/>
    </xf>
    <xf numFmtId="0" fontId="102" fillId="40" borderId="15" xfId="0" applyFont="1" applyFill="1" applyBorder="1" applyAlignment="1">
      <alignment/>
    </xf>
    <xf numFmtId="0" fontId="55" fillId="0" borderId="22" xfId="0" applyFont="1" applyBorder="1" applyAlignment="1">
      <alignment horizontal="left"/>
    </xf>
    <xf numFmtId="0" fontId="8" fillId="34" borderId="22" xfId="0" applyFont="1" applyFill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54" fillId="34" borderId="22" xfId="0" applyFont="1" applyFill="1" applyBorder="1" applyAlignment="1">
      <alignment/>
    </xf>
    <xf numFmtId="0" fontId="11" fillId="0" borderId="22" xfId="0" applyFont="1" applyBorder="1" applyAlignment="1">
      <alignment/>
    </xf>
    <xf numFmtId="0" fontId="11" fillId="0" borderId="27" xfId="0" applyFont="1" applyBorder="1" applyAlignment="1">
      <alignment/>
    </xf>
    <xf numFmtId="0" fontId="11" fillId="34" borderId="27" xfId="0" applyFont="1" applyFill="1" applyBorder="1" applyAlignment="1">
      <alignment/>
    </xf>
    <xf numFmtId="2" fontId="11" fillId="0" borderId="22" xfId="0" applyNumberFormat="1" applyFont="1" applyBorder="1" applyAlignment="1">
      <alignment/>
    </xf>
    <xf numFmtId="0" fontId="49" fillId="0" borderId="0" xfId="0" applyFont="1" applyAlignment="1">
      <alignment/>
    </xf>
    <xf numFmtId="2" fontId="1" fillId="0" borderId="0" xfId="0" applyNumberFormat="1" applyFont="1" applyAlignment="1">
      <alignment/>
    </xf>
    <xf numFmtId="0" fontId="52" fillId="0" borderId="0" xfId="0" applyFont="1" applyAlignment="1">
      <alignment/>
    </xf>
    <xf numFmtId="175" fontId="26" fillId="35" borderId="0" xfId="0" applyNumberFormat="1" applyFont="1" applyFill="1" applyBorder="1" applyAlignment="1">
      <alignment horizontal="right"/>
    </xf>
    <xf numFmtId="175" fontId="4" fillId="35" borderId="0" xfId="0" applyNumberFormat="1" applyFont="1" applyFill="1" applyBorder="1" applyAlignment="1">
      <alignment/>
    </xf>
    <xf numFmtId="175" fontId="4" fillId="35" borderId="0" xfId="0" applyNumberFormat="1" applyFont="1" applyFill="1" applyBorder="1" applyAlignment="1">
      <alignment horizontal="right"/>
    </xf>
    <xf numFmtId="175" fontId="26" fillId="35" borderId="18" xfId="0" applyNumberFormat="1" applyFont="1" applyFill="1" applyBorder="1" applyAlignment="1">
      <alignment horizontal="right"/>
    </xf>
    <xf numFmtId="175" fontId="4" fillId="38" borderId="12" xfId="109" applyNumberFormat="1" applyFont="1" applyFill="1" applyBorder="1">
      <alignment/>
      <protection/>
    </xf>
    <xf numFmtId="0" fontId="4" fillId="35" borderId="36" xfId="114" applyFont="1" applyFill="1" applyBorder="1">
      <alignment/>
      <protection/>
    </xf>
    <xf numFmtId="175" fontId="26" fillId="35" borderId="26" xfId="114" applyNumberFormat="1" applyFont="1" applyFill="1" applyBorder="1">
      <alignment/>
      <protection/>
    </xf>
    <xf numFmtId="175" fontId="4" fillId="35" borderId="26" xfId="114" applyNumberFormat="1" applyFont="1" applyFill="1" applyBorder="1">
      <alignment/>
      <protection/>
    </xf>
    <xf numFmtId="175" fontId="26" fillId="35" borderId="27" xfId="114" applyNumberFormat="1" applyFont="1" applyFill="1" applyBorder="1">
      <alignment/>
      <protection/>
    </xf>
    <xf numFmtId="175" fontId="15" fillId="35" borderId="36" xfId="0" applyNumberFormat="1" applyFont="1" applyFill="1" applyBorder="1" applyAlignment="1">
      <alignment/>
    </xf>
    <xf numFmtId="175" fontId="26" fillId="35" borderId="26" xfId="108" applyNumberFormat="1" applyFont="1" applyFill="1" applyBorder="1">
      <alignment/>
      <protection/>
    </xf>
    <xf numFmtId="175" fontId="4" fillId="35" borderId="26" xfId="108" applyNumberFormat="1" applyFont="1" applyFill="1" applyBorder="1">
      <alignment/>
      <protection/>
    </xf>
    <xf numFmtId="175" fontId="4" fillId="35" borderId="27" xfId="108" applyNumberFormat="1" applyFont="1" applyFill="1" applyBorder="1">
      <alignment/>
      <protection/>
    </xf>
    <xf numFmtId="0" fontId="4" fillId="36" borderId="36" xfId="0" applyFont="1" applyFill="1" applyBorder="1" applyAlignment="1">
      <alignment/>
    </xf>
    <xf numFmtId="175" fontId="26" fillId="36" borderId="26" xfId="109" applyNumberFormat="1" applyFont="1" applyFill="1" applyBorder="1">
      <alignment/>
      <protection/>
    </xf>
    <xf numFmtId="175" fontId="4" fillId="39" borderId="26" xfId="109" applyNumberFormat="1" applyFont="1" applyFill="1" applyBorder="1">
      <alignment/>
      <protection/>
    </xf>
    <xf numFmtId="175" fontId="4" fillId="38" borderId="26" xfId="109" applyNumberFormat="1" applyFont="1" applyFill="1" applyBorder="1">
      <alignment/>
      <protection/>
    </xf>
    <xf numFmtId="175" fontId="4" fillId="38" borderId="27" xfId="109" applyNumberFormat="1" applyFont="1" applyFill="1" applyBorder="1">
      <alignment/>
      <protection/>
    </xf>
    <xf numFmtId="2" fontId="9" fillId="32" borderId="15" xfId="0" applyNumberFormat="1" applyFont="1" applyFill="1" applyBorder="1" applyAlignment="1">
      <alignment/>
    </xf>
    <xf numFmtId="0" fontId="3" fillId="0" borderId="0" xfId="0" applyFont="1" applyAlignment="1">
      <alignment horizontal="left" vertical="top"/>
    </xf>
    <xf numFmtId="172" fontId="9" fillId="32" borderId="15" xfId="0" applyNumberFormat="1" applyFont="1" applyFill="1" applyBorder="1" applyAlignment="1">
      <alignment horizontal="right"/>
    </xf>
    <xf numFmtId="172" fontId="9" fillId="32" borderId="22" xfId="0" applyNumberFormat="1" applyFont="1" applyFill="1" applyBorder="1" applyAlignment="1">
      <alignment horizontal="right"/>
    </xf>
    <xf numFmtId="2" fontId="9" fillId="32" borderId="15" xfId="0" applyNumberFormat="1" applyFont="1" applyFill="1" applyBorder="1" applyAlignment="1">
      <alignment horizontal="right"/>
    </xf>
    <xf numFmtId="0" fontId="36" fillId="41" borderId="18" xfId="0" applyFont="1" applyFill="1" applyBorder="1" applyAlignment="1">
      <alignment horizontal="center"/>
    </xf>
    <xf numFmtId="0" fontId="11" fillId="32" borderId="15" xfId="0" applyFont="1" applyFill="1" applyBorder="1" applyAlignment="1">
      <alignment/>
    </xf>
    <xf numFmtId="2" fontId="9" fillId="35" borderId="15" xfId="42" applyNumberFormat="1" applyFont="1" applyFill="1" applyBorder="1" applyAlignment="1">
      <alignment horizontal="right"/>
    </xf>
    <xf numFmtId="0" fontId="58" fillId="0" borderId="0" xfId="0" applyFont="1" applyBorder="1" applyAlignment="1">
      <alignment/>
    </xf>
    <xf numFmtId="46" fontId="13" fillId="33" borderId="31" xfId="0" applyNumberFormat="1" applyFont="1" applyFill="1" applyBorder="1" applyAlignment="1">
      <alignment horizontal="center"/>
    </xf>
    <xf numFmtId="46" fontId="13" fillId="33" borderId="33" xfId="0" applyNumberFormat="1" applyFont="1" applyFill="1" applyBorder="1" applyAlignment="1">
      <alignment horizontal="center"/>
    </xf>
    <xf numFmtId="0" fontId="103" fillId="0" borderId="0" xfId="0" applyFont="1" applyAlignment="1">
      <alignment/>
    </xf>
    <xf numFmtId="0" fontId="20" fillId="33" borderId="31" xfId="0" applyFont="1" applyFill="1" applyBorder="1" applyAlignment="1">
      <alignment horizontal="center"/>
    </xf>
    <xf numFmtId="0" fontId="20" fillId="33" borderId="20" xfId="0" applyFont="1" applyFill="1" applyBorder="1" applyAlignment="1">
      <alignment horizontal="center"/>
    </xf>
    <xf numFmtId="0" fontId="20" fillId="33" borderId="3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46" fontId="13" fillId="33" borderId="32" xfId="0" applyNumberFormat="1" applyFont="1" applyFill="1" applyBorder="1" applyAlignment="1">
      <alignment horizontal="center"/>
    </xf>
    <xf numFmtId="46" fontId="13" fillId="33" borderId="37" xfId="0" applyNumberFormat="1" applyFont="1" applyFill="1" applyBorder="1" applyAlignment="1">
      <alignment horizontal="center"/>
    </xf>
    <xf numFmtId="46" fontId="13" fillId="33" borderId="38" xfId="0" applyNumberFormat="1" applyFont="1" applyFill="1" applyBorder="1" applyAlignment="1">
      <alignment horizontal="center"/>
    </xf>
    <xf numFmtId="0" fontId="2" fillId="34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6" fillId="34" borderId="0" xfId="0" applyNumberFormat="1" applyFont="1" applyFill="1" applyAlignment="1">
      <alignment horizontal="left"/>
    </xf>
    <xf numFmtId="0" fontId="5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04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105" fillId="41" borderId="39" xfId="0" applyFont="1" applyFill="1" applyBorder="1" applyAlignment="1">
      <alignment horizontal="center"/>
    </xf>
    <xf numFmtId="0" fontId="106" fillId="41" borderId="18" xfId="0" applyFont="1" applyFill="1" applyBorder="1" applyAlignment="1">
      <alignment horizontal="center"/>
    </xf>
    <xf numFmtId="0" fontId="106" fillId="41" borderId="40" xfId="0" applyFont="1" applyFill="1" applyBorder="1" applyAlignment="1">
      <alignment horizontal="center"/>
    </xf>
    <xf numFmtId="0" fontId="105" fillId="41" borderId="18" xfId="0" applyFont="1" applyFill="1" applyBorder="1" applyAlignment="1">
      <alignment horizontal="center"/>
    </xf>
    <xf numFmtId="0" fontId="105" fillId="41" borderId="40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14" fillId="0" borderId="0" xfId="0" applyFont="1" applyAlignment="1">
      <alignment horizontal="left"/>
    </xf>
    <xf numFmtId="0" fontId="0" fillId="0" borderId="37" xfId="0" applyBorder="1" applyAlignment="1">
      <alignment horizontal="center"/>
    </xf>
    <xf numFmtId="0" fontId="0" fillId="0" borderId="41" xfId="0" applyBorder="1" applyAlignment="1">
      <alignment horizontal="center"/>
    </xf>
    <xf numFmtId="0" fontId="20" fillId="33" borderId="42" xfId="0" applyFont="1" applyFill="1" applyBorder="1" applyAlignment="1">
      <alignment horizontal="center"/>
    </xf>
    <xf numFmtId="0" fontId="20" fillId="33" borderId="21" xfId="0" applyFont="1" applyFill="1" applyBorder="1" applyAlignment="1">
      <alignment horizontal="center"/>
    </xf>
    <xf numFmtId="0" fontId="20" fillId="33" borderId="43" xfId="0" applyFont="1" applyFill="1" applyBorder="1" applyAlignment="1">
      <alignment horizontal="center"/>
    </xf>
    <xf numFmtId="0" fontId="20" fillId="33" borderId="29" xfId="0" applyFont="1" applyFill="1" applyBorder="1" applyAlignment="1">
      <alignment horizontal="center"/>
    </xf>
    <xf numFmtId="0" fontId="20" fillId="33" borderId="44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0" fillId="33" borderId="18" xfId="0" applyFont="1" applyFill="1" applyBorder="1" applyAlignment="1">
      <alignment horizontal="center"/>
    </xf>
    <xf numFmtId="0" fontId="20" fillId="33" borderId="27" xfId="0" applyFont="1" applyFill="1" applyBorder="1" applyAlignment="1">
      <alignment horizontal="center"/>
    </xf>
    <xf numFmtId="175" fontId="13" fillId="33" borderId="38" xfId="0" applyNumberFormat="1" applyFont="1" applyFill="1" applyBorder="1" applyAlignment="1">
      <alignment/>
    </xf>
  </cellXfs>
  <cellStyles count="11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2" xfId="53"/>
    <cellStyle name="Comma 3" xfId="54"/>
    <cellStyle name="Comma 4" xfId="55"/>
    <cellStyle name="Comma 5" xfId="56"/>
    <cellStyle name="Comma 6" xfId="57"/>
    <cellStyle name="Comma 7" xfId="58"/>
    <cellStyle name="Comma 8" xfId="59"/>
    <cellStyle name="Comma 9" xfId="60"/>
    <cellStyle name="Currency" xfId="61"/>
    <cellStyle name="Currency [0]" xfId="62"/>
    <cellStyle name="Explanatory Text" xfId="63"/>
    <cellStyle name="F2" xfId="64"/>
    <cellStyle name="F3" xfId="65"/>
    <cellStyle name="F4" xfId="66"/>
    <cellStyle name="F5" xfId="67"/>
    <cellStyle name="F5 10" xfId="68"/>
    <cellStyle name="F5 11" xfId="69"/>
    <cellStyle name="F5 12" xfId="70"/>
    <cellStyle name="F5 13" xfId="71"/>
    <cellStyle name="F5 14" xfId="72"/>
    <cellStyle name="F5 2" xfId="73"/>
    <cellStyle name="F5 3" xfId="74"/>
    <cellStyle name="F5 4" xfId="75"/>
    <cellStyle name="F5 5" xfId="76"/>
    <cellStyle name="F5 6" xfId="77"/>
    <cellStyle name="F5 7" xfId="78"/>
    <cellStyle name="F5 8" xfId="79"/>
    <cellStyle name="F5 9" xfId="80"/>
    <cellStyle name="F6" xfId="81"/>
    <cellStyle name="F7" xfId="82"/>
    <cellStyle name="F7 10" xfId="83"/>
    <cellStyle name="F7 11" xfId="84"/>
    <cellStyle name="F7 12" xfId="85"/>
    <cellStyle name="F7 13" xfId="86"/>
    <cellStyle name="F7 14" xfId="87"/>
    <cellStyle name="F7 2" xfId="88"/>
    <cellStyle name="F7 3" xfId="89"/>
    <cellStyle name="F7 4" xfId="90"/>
    <cellStyle name="F7 5" xfId="91"/>
    <cellStyle name="F7 6" xfId="92"/>
    <cellStyle name="F7 7" xfId="93"/>
    <cellStyle name="F7 8" xfId="94"/>
    <cellStyle name="F7 9" xfId="95"/>
    <cellStyle name="F8" xfId="96"/>
    <cellStyle name="Followed Hyperlink" xfId="97"/>
    <cellStyle name="Good" xfId="98"/>
    <cellStyle name="Heading 1" xfId="99"/>
    <cellStyle name="Heading 2" xfId="100"/>
    <cellStyle name="Heading 3" xfId="101"/>
    <cellStyle name="Heading 4" xfId="102"/>
    <cellStyle name="Hyperlink" xfId="103"/>
    <cellStyle name="Input" xfId="104"/>
    <cellStyle name="Linked Cell" xfId="105"/>
    <cellStyle name="Neutral" xfId="106"/>
    <cellStyle name="Normal 10" xfId="107"/>
    <cellStyle name="Normal 11" xfId="108"/>
    <cellStyle name="Normal 12" xfId="109"/>
    <cellStyle name="Normal 13" xfId="110"/>
    <cellStyle name="Normal 14" xfId="111"/>
    <cellStyle name="Normal 2" xfId="112"/>
    <cellStyle name="Normal 2 2" xfId="113"/>
    <cellStyle name="Normal 3" xfId="114"/>
    <cellStyle name="Normal 4" xfId="115"/>
    <cellStyle name="Normal 5" xfId="116"/>
    <cellStyle name="Normal 6" xfId="117"/>
    <cellStyle name="Normal 7" xfId="118"/>
    <cellStyle name="Normal 8" xfId="119"/>
    <cellStyle name="Normal 9" xfId="120"/>
    <cellStyle name="Normal_S7" xfId="121"/>
    <cellStyle name="Note" xfId="122"/>
    <cellStyle name="Output" xfId="123"/>
    <cellStyle name="Percent" xfId="124"/>
    <cellStyle name="Title" xfId="125"/>
    <cellStyle name="Total" xfId="126"/>
    <cellStyle name="Warning Text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-0.006"/>
          <c:w val="0.93125"/>
          <c:h val="0.94625"/>
        </c:manualLayout>
      </c:layout>
      <c:lineChart>
        <c:grouping val="stacked"/>
        <c:varyColors val="0"/>
        <c:ser>
          <c:idx val="1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'S6'!$BJ$3:$CM$4</c:f>
              <c:multiLvlStrCache>
                <c:ptCount val="18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'S6'!$BJ$13:$CM$13</c:f>
              <c:numCache>
                <c:ptCount val="18"/>
                <c:pt idx="0">
                  <c:v>0.1010407194099222</c:v>
                </c:pt>
                <c:pt idx="1">
                  <c:v>0.09994003597841294</c:v>
                </c:pt>
                <c:pt idx="2">
                  <c:v>0.1000680462714646</c:v>
                </c:pt>
                <c:pt idx="3">
                  <c:v>0.11088933244621867</c:v>
                </c:pt>
                <c:pt idx="4">
                  <c:v>0.11944149158534693</c:v>
                </c:pt>
                <c:pt idx="5">
                  <c:v>0.12419583198787848</c:v>
                </c:pt>
                <c:pt idx="6">
                  <c:v>0.12576559807830168</c:v>
                </c:pt>
                <c:pt idx="7">
                  <c:v>0.12592079581942958</c:v>
                </c:pt>
                <c:pt idx="8">
                  <c:v>0.1329168605037549</c:v>
                </c:pt>
                <c:pt idx="9">
                  <c:v>0.1329168605037549</c:v>
                </c:pt>
                <c:pt idx="10">
                  <c:v>0.1329168605037549</c:v>
                </c:pt>
                <c:pt idx="11">
                  <c:v>0.13352204448954522</c:v>
                </c:pt>
                <c:pt idx="12">
                  <c:v>0.13417955908596885</c:v>
                </c:pt>
                <c:pt idx="13">
                  <c:v>0.1289</c:v>
                </c:pt>
                <c:pt idx="14">
                  <c:v>0.1347</c:v>
                </c:pt>
                <c:pt idx="15">
                  <c:v>0.1362</c:v>
                </c:pt>
                <c:pt idx="16">
                  <c:v>0.13100665513808102</c:v>
                </c:pt>
                <c:pt idx="17">
                  <c:v>0.13076510663894444</c:v>
                </c:pt>
              </c:numCache>
            </c:numRef>
          </c:val>
          <c:smooth val="1"/>
        </c:ser>
        <c:marker val="1"/>
        <c:axId val="57127992"/>
        <c:axId val="44389881"/>
      </c:lineChart>
      <c:catAx>
        <c:axId val="5712799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$-409]mmm\-yy;@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4389881"/>
        <c:crossesAt val="0.08900000000000005"/>
        <c:auto val="1"/>
        <c:lblOffset val="100"/>
        <c:tickLblSkip val="1"/>
        <c:noMultiLvlLbl val="0"/>
      </c:catAx>
      <c:valAx>
        <c:axId val="44389881"/>
        <c:scaling>
          <c:orientation val="minMax"/>
          <c:max val="0.15000000000000008"/>
          <c:min val="0.09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993366"/>
                    </a:solidFill>
                  </a:rPr>
                  <a:t>Cents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27992"/>
        <c:crossesAt val="1"/>
        <c:crossBetween val="between"/>
        <c:dispUnits/>
        <c:majorUnit val="0.010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993366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Relationship Id="rId3" Type="http://schemas.openxmlformats.org/officeDocument/2006/relationships/image" Target="../media/image1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2</xdr:row>
      <xdr:rowOff>19050</xdr:rowOff>
    </xdr:from>
    <xdr:to>
      <xdr:col>0</xdr:col>
      <xdr:colOff>4524375</xdr:colOff>
      <xdr:row>5</xdr:row>
      <xdr:rowOff>228600</xdr:rowOff>
    </xdr:to>
    <xdr:pic>
      <xdr:nvPicPr>
        <xdr:cNvPr id="1" name="Picture 33" descr="seriena"/>
        <xdr:cNvPicPr preferRelativeResize="1">
          <a:picLocks noChangeAspect="1"/>
        </xdr:cNvPicPr>
      </xdr:nvPicPr>
      <xdr:blipFill>
        <a:blip r:embed="rId1"/>
        <a:srcRect l="11538" r="38461" b="13333"/>
        <a:stretch>
          <a:fillRect/>
        </a:stretch>
      </xdr:blipFill>
      <xdr:spPr>
        <a:xfrm>
          <a:off x="2800350" y="638175"/>
          <a:ext cx="1724025" cy="1581150"/>
        </a:xfrm>
        <a:prstGeom prst="rect">
          <a:avLst/>
        </a:prstGeom>
        <a:solidFill>
          <a:srgbClr val="800000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35</xdr:row>
      <xdr:rowOff>180975</xdr:rowOff>
    </xdr:from>
    <xdr:to>
      <xdr:col>13</xdr:col>
      <xdr:colOff>76200</xdr:colOff>
      <xdr:row>53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6838950"/>
          <a:ext cx="737235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10</xdr:row>
      <xdr:rowOff>0</xdr:rowOff>
    </xdr:from>
    <xdr:to>
      <xdr:col>13</xdr:col>
      <xdr:colOff>123825</xdr:colOff>
      <xdr:row>25</xdr:row>
      <xdr:rowOff>114300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885950"/>
          <a:ext cx="741045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5</xdr:row>
      <xdr:rowOff>28575</xdr:rowOff>
    </xdr:from>
    <xdr:to>
      <xdr:col>12</xdr:col>
      <xdr:colOff>428625</xdr:colOff>
      <xdr:row>22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62025"/>
          <a:ext cx="7267575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35</xdr:row>
      <xdr:rowOff>47625</xdr:rowOff>
    </xdr:from>
    <xdr:to>
      <xdr:col>12</xdr:col>
      <xdr:colOff>523875</xdr:colOff>
      <xdr:row>56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5943600"/>
          <a:ext cx="7296150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114300</xdr:rowOff>
    </xdr:from>
    <xdr:to>
      <xdr:col>12</xdr:col>
      <xdr:colOff>238125</xdr:colOff>
      <xdr:row>19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23925"/>
          <a:ext cx="6943725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12</xdr:col>
      <xdr:colOff>371475</xdr:colOff>
      <xdr:row>63</xdr:row>
      <xdr:rowOff>247650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8915400"/>
          <a:ext cx="7077075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12</xdr:col>
      <xdr:colOff>257175</xdr:colOff>
      <xdr:row>40</xdr:row>
      <xdr:rowOff>47625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4686300"/>
          <a:ext cx="6962775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33</xdr:row>
      <xdr:rowOff>95250</xdr:rowOff>
    </xdr:from>
    <xdr:to>
      <xdr:col>12</xdr:col>
      <xdr:colOff>438150</xdr:colOff>
      <xdr:row>53</xdr:row>
      <xdr:rowOff>47625</xdr:rowOff>
    </xdr:to>
    <xdr:graphicFrame>
      <xdr:nvGraphicFramePr>
        <xdr:cNvPr id="1" name="Chart 9"/>
        <xdr:cNvGraphicFramePr/>
      </xdr:nvGraphicFramePr>
      <xdr:xfrm>
        <a:off x="447675" y="5514975"/>
        <a:ext cx="727710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371475</xdr:colOff>
      <xdr:row>5</xdr:row>
      <xdr:rowOff>133350</xdr:rowOff>
    </xdr:from>
    <xdr:to>
      <xdr:col>12</xdr:col>
      <xdr:colOff>390525</xdr:colOff>
      <xdr:row>24</xdr:row>
      <xdr:rowOff>85725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981075"/>
          <a:ext cx="7305675" cy="3028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Output%20tables\Set%20of%20Tables-Link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20"/>
  <sheetViews>
    <sheetView zoomScalePageLayoutView="0" workbookViewId="0" topLeftCell="A1">
      <selection activeCell="A20" sqref="A20"/>
    </sheetView>
  </sheetViews>
  <sheetFormatPr defaultColWidth="9.140625" defaultRowHeight="12"/>
  <cols>
    <col min="1" max="1" width="113.28125" style="0" bestFit="1" customWidth="1"/>
  </cols>
  <sheetData>
    <row r="1" ht="11.25">
      <c r="A1" t="s">
        <v>99</v>
      </c>
    </row>
    <row r="2" ht="37.5">
      <c r="A2" s="24"/>
    </row>
    <row r="3" ht="37.5">
      <c r="A3" s="24"/>
    </row>
    <row r="4" ht="33">
      <c r="A4" s="25"/>
    </row>
    <row r="5" ht="37.5">
      <c r="A5" s="24"/>
    </row>
    <row r="6" ht="33">
      <c r="A6" s="25"/>
    </row>
    <row r="7" ht="37.5">
      <c r="A7" s="26"/>
    </row>
    <row r="8" ht="37.5">
      <c r="A8" s="26"/>
    </row>
    <row r="9" ht="33">
      <c r="A9" s="60"/>
    </row>
    <row r="11" ht="40.5">
      <c r="A11" s="27"/>
    </row>
    <row r="12" ht="40.5">
      <c r="A12" s="27"/>
    </row>
    <row r="13" ht="40.5">
      <c r="A13" s="27" t="s">
        <v>43</v>
      </c>
    </row>
    <row r="14" ht="40.5">
      <c r="A14" s="27"/>
    </row>
    <row r="15" ht="40.5">
      <c r="A15" s="27" t="s">
        <v>44</v>
      </c>
    </row>
    <row r="16" ht="40.5">
      <c r="A16" s="27"/>
    </row>
    <row r="17" ht="40.5">
      <c r="A17" s="27" t="s">
        <v>45</v>
      </c>
    </row>
    <row r="18" ht="40.5">
      <c r="A18" s="27"/>
    </row>
    <row r="19" ht="40.5">
      <c r="A19" s="29">
        <v>40330</v>
      </c>
    </row>
    <row r="20" ht="40.5">
      <c r="A20" s="28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N62"/>
  <sheetViews>
    <sheetView tabSelected="1" zoomScalePageLayoutView="0" workbookViewId="0" topLeftCell="A40">
      <selection activeCell="M20" sqref="M20"/>
    </sheetView>
  </sheetViews>
  <sheetFormatPr defaultColWidth="9.140625" defaultRowHeight="12"/>
  <cols>
    <col min="2" max="2" width="50.8515625" style="0" customWidth="1"/>
    <col min="3" max="3" width="9.7109375" style="0" customWidth="1"/>
    <col min="4" max="4" width="10.140625" style="0" customWidth="1"/>
    <col min="5" max="5" width="12.00390625" style="0" customWidth="1"/>
    <col min="6" max="6" width="9.8515625" style="0" customWidth="1"/>
    <col min="7" max="8" width="9.28125" style="0" customWidth="1"/>
    <col min="9" max="9" width="8.140625" style="0" customWidth="1"/>
    <col min="10" max="10" width="8.7109375" style="0" customWidth="1"/>
    <col min="11" max="11" width="9.140625" style="0" hidden="1" customWidth="1"/>
    <col min="12" max="12" width="10.8515625" style="0" customWidth="1"/>
  </cols>
  <sheetData>
    <row r="2" spans="2:12" ht="11.25">
      <c r="B2" s="296" t="s">
        <v>74</v>
      </c>
      <c r="C2" s="297"/>
      <c r="D2" s="297"/>
      <c r="E2" s="297"/>
      <c r="F2" s="297"/>
      <c r="G2" s="297"/>
      <c r="H2" s="297"/>
      <c r="I2" s="297"/>
      <c r="J2" s="297"/>
      <c r="K2" s="297"/>
      <c r="L2" s="197"/>
    </row>
    <row r="3" spans="2:12" ht="11.25">
      <c r="B3" s="295" t="s">
        <v>115</v>
      </c>
      <c r="C3" s="295"/>
      <c r="D3" s="295"/>
      <c r="E3" s="295"/>
      <c r="F3" s="295"/>
      <c r="G3" s="295"/>
      <c r="H3" s="295"/>
      <c r="I3" s="295"/>
      <c r="J3" s="295"/>
      <c r="K3" s="295"/>
      <c r="L3" s="198"/>
    </row>
    <row r="4" spans="2:12" ht="11.25">
      <c r="B4" s="69"/>
      <c r="C4" s="22"/>
      <c r="D4" s="22"/>
      <c r="E4" s="22"/>
      <c r="F4" s="298" t="s">
        <v>106</v>
      </c>
      <c r="G4" s="300"/>
      <c r="H4" s="127" t="s">
        <v>125</v>
      </c>
      <c r="I4" s="298" t="s">
        <v>160</v>
      </c>
      <c r="J4" s="299"/>
      <c r="K4" s="300"/>
      <c r="L4" s="198" t="s">
        <v>161</v>
      </c>
    </row>
    <row r="5" spans="2:12" ht="11.25">
      <c r="B5" s="70"/>
      <c r="C5" s="12">
        <v>39965</v>
      </c>
      <c r="D5" s="12">
        <v>40322</v>
      </c>
      <c r="E5" s="12">
        <v>40355</v>
      </c>
      <c r="F5" s="12" t="s">
        <v>155</v>
      </c>
      <c r="G5" s="58" t="s">
        <v>156</v>
      </c>
      <c r="H5" s="58" t="s">
        <v>168</v>
      </c>
      <c r="I5" s="12">
        <v>39904</v>
      </c>
      <c r="J5" s="12">
        <v>40299</v>
      </c>
      <c r="K5" s="12">
        <v>40210</v>
      </c>
      <c r="L5" s="12">
        <v>40330</v>
      </c>
    </row>
    <row r="6" spans="2:12" ht="11.25">
      <c r="B6" s="71"/>
      <c r="C6" s="137"/>
      <c r="D6" s="137"/>
      <c r="E6" s="137"/>
      <c r="F6" s="138"/>
      <c r="G6" s="138"/>
      <c r="H6" s="138"/>
      <c r="I6" s="134"/>
      <c r="J6" s="134"/>
      <c r="K6" s="134"/>
      <c r="L6" s="269"/>
    </row>
    <row r="7" spans="2:14" ht="11.25">
      <c r="B7" s="72" t="s">
        <v>1</v>
      </c>
      <c r="C7" s="38">
        <v>14913.189083741974</v>
      </c>
      <c r="D7" s="132">
        <v>16486.68630679044</v>
      </c>
      <c r="E7" s="132">
        <v>14144.417551039998</v>
      </c>
      <c r="F7" s="38">
        <v>-2342.2687557504432</v>
      </c>
      <c r="G7" s="132">
        <v>-768.771532701976</v>
      </c>
      <c r="H7" s="132">
        <v>-14.207031735575166</v>
      </c>
      <c r="I7" s="132">
        <v>1.2884409003082409</v>
      </c>
      <c r="J7" s="132">
        <v>5.409881095435676</v>
      </c>
      <c r="K7" s="132">
        <v>8.558327054715242</v>
      </c>
      <c r="L7" s="270">
        <v>-5.154977438997765</v>
      </c>
      <c r="N7" s="53"/>
    </row>
    <row r="8" spans="2:12" ht="11.25">
      <c r="B8" s="72" t="s">
        <v>71</v>
      </c>
      <c r="C8" s="38">
        <v>31010.090718515865</v>
      </c>
      <c r="D8" s="132">
        <v>36564.06075729016</v>
      </c>
      <c r="E8" s="132">
        <v>36447.02762937834</v>
      </c>
      <c r="F8" s="264">
        <v>-117.03312791181816</v>
      </c>
      <c r="G8" s="140">
        <v>5436.936910862474</v>
      </c>
      <c r="H8" s="132">
        <v>-0.3200769430088097</v>
      </c>
      <c r="I8" s="132">
        <v>20.376696522013283</v>
      </c>
      <c r="J8" s="132">
        <v>21.07190310940281</v>
      </c>
      <c r="K8" s="132">
        <v>12.270879633017252</v>
      </c>
      <c r="L8" s="270">
        <v>17.532799114373844</v>
      </c>
    </row>
    <row r="9" spans="2:12" ht="11.25">
      <c r="B9" s="74" t="s">
        <v>134</v>
      </c>
      <c r="C9" s="265">
        <v>-6829.091604040041</v>
      </c>
      <c r="D9" s="133">
        <v>-3767.9597936763007</v>
      </c>
      <c r="E9" s="133">
        <v>-4631.149417546298</v>
      </c>
      <c r="F9" s="266">
        <v>-863.1896238699969</v>
      </c>
      <c r="G9" s="136">
        <v>2197.942186493743</v>
      </c>
      <c r="H9" s="133">
        <v>22.908673954501122</v>
      </c>
      <c r="I9" s="133">
        <v>-39.834476864355636</v>
      </c>
      <c r="J9" s="133">
        <v>-50.43355166799559</v>
      </c>
      <c r="K9" s="133">
        <v>-26.061059367617144</v>
      </c>
      <c r="L9" s="271">
        <v>-32.18498614359569</v>
      </c>
    </row>
    <row r="10" spans="2:12" ht="11.25">
      <c r="B10" s="74" t="s">
        <v>132</v>
      </c>
      <c r="C10" s="265">
        <v>37839.182322555906</v>
      </c>
      <c r="D10" s="133">
        <v>40332.02055096646</v>
      </c>
      <c r="E10" s="133">
        <v>41078.17704692463</v>
      </c>
      <c r="F10" s="266">
        <v>746.1564959581738</v>
      </c>
      <c r="G10" s="136">
        <v>3238.9947243687275</v>
      </c>
      <c r="H10" s="133">
        <v>1.850034998904348</v>
      </c>
      <c r="I10" s="133">
        <v>8.08444974557565</v>
      </c>
      <c r="J10" s="133">
        <v>6.692480006299517</v>
      </c>
      <c r="K10" s="133">
        <v>6.569474786137364</v>
      </c>
      <c r="L10" s="271">
        <v>8.559896185806238</v>
      </c>
    </row>
    <row r="11" spans="2:12" ht="11.25">
      <c r="B11" s="75" t="s">
        <v>46</v>
      </c>
      <c r="C11" s="265">
        <v>2910.350733605902</v>
      </c>
      <c r="D11" s="133">
        <v>2820.57289021</v>
      </c>
      <c r="E11" s="133">
        <v>2848.4180999800005</v>
      </c>
      <c r="F11" s="266">
        <v>27.845209770000565</v>
      </c>
      <c r="G11" s="136">
        <v>-61.93263362590142</v>
      </c>
      <c r="H11" s="133">
        <v>0.9872182302626971</v>
      </c>
      <c r="I11" s="133">
        <v>3.9421424476035805</v>
      </c>
      <c r="J11" s="133">
        <v>-0.7249013767914203</v>
      </c>
      <c r="K11" s="133">
        <v>7.155031160771319</v>
      </c>
      <c r="L11" s="271">
        <v>-2.12801271375177</v>
      </c>
    </row>
    <row r="12" spans="2:12" ht="11.25">
      <c r="B12" s="75" t="s">
        <v>133</v>
      </c>
      <c r="C12" s="265">
        <v>93.17462861</v>
      </c>
      <c r="D12" s="133">
        <v>57.40096336</v>
      </c>
      <c r="E12" s="133">
        <v>92.80558161</v>
      </c>
      <c r="F12" s="266">
        <v>35.404618250000006</v>
      </c>
      <c r="G12" s="136">
        <v>-0.3690469999999948</v>
      </c>
      <c r="H12" s="133">
        <v>61.67948441553822</v>
      </c>
      <c r="I12" s="133">
        <v>-10.613117009250118</v>
      </c>
      <c r="J12" s="133">
        <v>-30.892036097611154</v>
      </c>
      <c r="K12" s="133">
        <v>-68.0478843123756</v>
      </c>
      <c r="L12" s="271">
        <v>-0.3960809992006653</v>
      </c>
    </row>
    <row r="13" spans="2:12" ht="11.25">
      <c r="B13" s="75" t="s">
        <v>135</v>
      </c>
      <c r="C13" s="265">
        <v>654.829145</v>
      </c>
      <c r="D13" s="133">
        <v>316.24713111999995</v>
      </c>
      <c r="E13" s="133">
        <v>449.55680738999996</v>
      </c>
      <c r="F13" s="266">
        <v>133.30967627</v>
      </c>
      <c r="G13" s="136">
        <v>-205.27233761000008</v>
      </c>
      <c r="H13" s="133">
        <v>42.1536397177357</v>
      </c>
      <c r="I13" s="133">
        <v>-15.748126460850564</v>
      </c>
      <c r="J13" s="133">
        <v>-45.80463233971922</v>
      </c>
      <c r="K13" s="133">
        <v>-3.7342951012206638</v>
      </c>
      <c r="L13" s="271">
        <v>-31.34746508724807</v>
      </c>
    </row>
    <row r="14" spans="2:12" ht="11.25">
      <c r="B14" s="75" t="s">
        <v>136</v>
      </c>
      <c r="C14" s="265">
        <v>11675.187948100001</v>
      </c>
      <c r="D14" s="133">
        <v>13201.46550369645</v>
      </c>
      <c r="E14" s="133">
        <v>13563.05180933462</v>
      </c>
      <c r="F14" s="266">
        <v>361.5863056381695</v>
      </c>
      <c r="G14" s="136">
        <v>1887.8638612346185</v>
      </c>
      <c r="H14" s="133">
        <v>2.738986103754346</v>
      </c>
      <c r="I14" s="133">
        <v>11.793747678790446</v>
      </c>
      <c r="J14" s="133">
        <v>11.932957344354378</v>
      </c>
      <c r="K14" s="133">
        <v>9.611030942994581</v>
      </c>
      <c r="L14" s="271">
        <v>16.16987983085827</v>
      </c>
    </row>
    <row r="15" spans="2:14" ht="11.25">
      <c r="B15" s="75" t="s">
        <v>47</v>
      </c>
      <c r="C15" s="265">
        <v>22500.264867240006</v>
      </c>
      <c r="D15" s="133">
        <v>23933.767062580002</v>
      </c>
      <c r="E15" s="133">
        <v>24121.777748610006</v>
      </c>
      <c r="F15" s="266">
        <v>188.01068603000385</v>
      </c>
      <c r="G15" s="136">
        <v>1621.5128813699994</v>
      </c>
      <c r="H15" s="133">
        <v>0.7855457335170404</v>
      </c>
      <c r="I15" s="133">
        <v>7.225035496157828</v>
      </c>
      <c r="J15" s="133">
        <v>6.393929428489042</v>
      </c>
      <c r="K15" s="133">
        <v>5.389859669613362</v>
      </c>
      <c r="L15" s="271">
        <v>7.206639081528743</v>
      </c>
      <c r="M15" s="51"/>
      <c r="N15" s="53"/>
    </row>
    <row r="16" spans="2:14" ht="11.25">
      <c r="B16" s="75" t="s">
        <v>131</v>
      </c>
      <c r="C16" s="265">
        <v>5.375</v>
      </c>
      <c r="D16" s="133">
        <v>2.567</v>
      </c>
      <c r="E16" s="133">
        <v>2.567</v>
      </c>
      <c r="F16" s="265">
        <v>0</v>
      </c>
      <c r="G16" s="136">
        <v>-2.808</v>
      </c>
      <c r="H16" s="133">
        <v>0</v>
      </c>
      <c r="I16" s="133">
        <v>-51.06119925819081</v>
      </c>
      <c r="J16" s="133">
        <v>-47.104883577168756</v>
      </c>
      <c r="K16" s="133">
        <v>-51.06119925819081</v>
      </c>
      <c r="L16" s="271">
        <v>-52.241860465116275</v>
      </c>
      <c r="M16" s="51"/>
      <c r="N16" s="53"/>
    </row>
    <row r="17" spans="2:12" ht="11.25">
      <c r="B17" s="72" t="s">
        <v>41</v>
      </c>
      <c r="C17" s="38">
        <v>-15556.697870259803</v>
      </c>
      <c r="D17" s="132">
        <v>-18626.51255815275</v>
      </c>
      <c r="E17" s="132">
        <v>-18932.96660834269</v>
      </c>
      <c r="F17" s="266">
        <v>-306.45405018993915</v>
      </c>
      <c r="G17" s="140">
        <v>-3376.2687380828866</v>
      </c>
      <c r="H17" s="132">
        <v>1.6452572602261257</v>
      </c>
      <c r="I17" s="132">
        <v>15.042415683079824</v>
      </c>
      <c r="J17" s="132">
        <v>18.87519671763851</v>
      </c>
      <c r="K17" s="132">
        <v>12.821862801393236</v>
      </c>
      <c r="L17" s="270">
        <v>21.702990996163773</v>
      </c>
    </row>
    <row r="18" spans="2:12" ht="12" thickBot="1">
      <c r="B18" s="76" t="s">
        <v>48</v>
      </c>
      <c r="C18" s="40">
        <v>30366.581931998033</v>
      </c>
      <c r="D18" s="135">
        <v>34424.234505927845</v>
      </c>
      <c r="E18" s="135">
        <v>31658.478572075644</v>
      </c>
      <c r="F18" s="267">
        <v>-2765.7559338522005</v>
      </c>
      <c r="G18" s="139">
        <v>1291.8966400776117</v>
      </c>
      <c r="H18" s="135">
        <v>-8.034328064363896</v>
      </c>
      <c r="I18" s="135">
        <v>12.805765725048591</v>
      </c>
      <c r="J18" s="135">
        <v>14.093587509674999</v>
      </c>
      <c r="K18" s="135">
        <v>10.077268584864418</v>
      </c>
      <c r="L18" s="272">
        <v>4.254460948747996</v>
      </c>
    </row>
    <row r="19" spans="2:13" ht="11.25">
      <c r="B19" s="128"/>
      <c r="C19" s="34"/>
      <c r="D19" s="34"/>
      <c r="E19" s="34"/>
      <c r="F19" s="34"/>
      <c r="G19" s="34"/>
      <c r="H19" s="34"/>
      <c r="I19" s="34"/>
      <c r="J19" s="34"/>
      <c r="K19" s="34"/>
      <c r="M19" s="51"/>
    </row>
    <row r="20" spans="2:13" ht="11.25">
      <c r="B20" s="96"/>
      <c r="C20" s="34"/>
      <c r="D20" s="34"/>
      <c r="E20" s="34"/>
      <c r="F20" s="34"/>
      <c r="G20" s="34"/>
      <c r="H20" s="34"/>
      <c r="I20" s="34"/>
      <c r="J20" s="34"/>
      <c r="K20" s="34"/>
      <c r="M20" s="51"/>
    </row>
    <row r="21" spans="2:13" ht="11.25">
      <c r="B21" s="96"/>
      <c r="C21" s="34"/>
      <c r="D21" s="34"/>
      <c r="E21" s="34"/>
      <c r="F21" s="34"/>
      <c r="G21" s="34"/>
      <c r="H21" s="34"/>
      <c r="I21" s="34"/>
      <c r="J21" s="34"/>
      <c r="K21" s="34"/>
      <c r="M21" s="51"/>
    </row>
    <row r="22" spans="2:12" ht="11.25">
      <c r="B22" s="297" t="s">
        <v>74</v>
      </c>
      <c r="C22" s="297"/>
      <c r="D22" s="297"/>
      <c r="E22" s="297"/>
      <c r="F22" s="297"/>
      <c r="G22" s="297"/>
      <c r="H22" s="297"/>
      <c r="I22" s="297"/>
      <c r="J22" s="297"/>
      <c r="K22" s="297"/>
      <c r="L22" s="197"/>
    </row>
    <row r="23" spans="2:12" ht="11.25">
      <c r="B23" s="294" t="s">
        <v>114</v>
      </c>
      <c r="C23" s="295"/>
      <c r="D23" s="295"/>
      <c r="E23" s="295"/>
      <c r="F23" s="295"/>
      <c r="G23" s="295"/>
      <c r="H23" s="295"/>
      <c r="I23" s="295"/>
      <c r="J23" s="295"/>
      <c r="K23" s="295"/>
      <c r="L23" s="198"/>
    </row>
    <row r="24" spans="2:12" ht="11.25">
      <c r="B24" s="69"/>
      <c r="C24" s="22"/>
      <c r="D24" s="22"/>
      <c r="E24" s="22"/>
      <c r="F24" s="291" t="s">
        <v>106</v>
      </c>
      <c r="G24" s="292"/>
      <c r="H24" s="127" t="s">
        <v>124</v>
      </c>
      <c r="I24" s="298" t="s">
        <v>160</v>
      </c>
      <c r="J24" s="299"/>
      <c r="K24" s="300"/>
      <c r="L24" s="198" t="s">
        <v>161</v>
      </c>
    </row>
    <row r="25" spans="2:12" ht="11.25">
      <c r="B25" s="70"/>
      <c r="C25" s="12">
        <f>C5</f>
        <v>39965</v>
      </c>
      <c r="D25" s="12">
        <f>D5</f>
        <v>40322</v>
      </c>
      <c r="E25" s="12">
        <f>E5</f>
        <v>40355</v>
      </c>
      <c r="F25" s="12" t="s">
        <v>109</v>
      </c>
      <c r="G25" s="58" t="s">
        <v>108</v>
      </c>
      <c r="H25" s="58" t="s">
        <v>127</v>
      </c>
      <c r="I25" s="12">
        <v>39904</v>
      </c>
      <c r="J25" s="12">
        <v>40299</v>
      </c>
      <c r="K25" s="12">
        <v>40210</v>
      </c>
      <c r="L25" s="12">
        <v>40330</v>
      </c>
    </row>
    <row r="26" spans="2:12" ht="11.25">
      <c r="B26" s="78"/>
      <c r="C26" s="35"/>
      <c r="D26" s="35"/>
      <c r="E26" s="35"/>
      <c r="F26" s="35"/>
      <c r="G26" s="35"/>
      <c r="H26" s="35"/>
      <c r="I26" s="35"/>
      <c r="J26" s="35"/>
      <c r="K26" s="35"/>
      <c r="L26" s="273"/>
    </row>
    <row r="27" spans="2:12" ht="11.25">
      <c r="B27" s="72" t="s">
        <v>48</v>
      </c>
      <c r="C27" s="38">
        <v>30366.58328485214</v>
      </c>
      <c r="D27" s="38">
        <v>34424.234178815204</v>
      </c>
      <c r="E27" s="38">
        <v>31658.51771217521</v>
      </c>
      <c r="F27" s="38">
        <v>-2765.716466639995</v>
      </c>
      <c r="G27" s="38">
        <v>1291.9344273230708</v>
      </c>
      <c r="H27" s="38">
        <v>-8.034213491209709</v>
      </c>
      <c r="I27" s="38">
        <v>12.805765725048591</v>
      </c>
      <c r="J27" s="38">
        <v>14.093587509674999</v>
      </c>
      <c r="K27" s="38">
        <v>4.254460948747996</v>
      </c>
      <c r="L27" s="274">
        <v>4.254460948747996</v>
      </c>
    </row>
    <row r="28" spans="2:12" ht="11.25">
      <c r="B28" s="74" t="s">
        <v>49</v>
      </c>
      <c r="C28" s="265">
        <v>1132.9544204719027</v>
      </c>
      <c r="D28" s="265">
        <v>1130.75612442</v>
      </c>
      <c r="E28" s="265">
        <v>1135.61006398</v>
      </c>
      <c r="F28" s="265">
        <v>4.853939559999844</v>
      </c>
      <c r="G28" s="265">
        <v>2.655643508097228</v>
      </c>
      <c r="H28" s="265">
        <v>0.4292649365476203</v>
      </c>
      <c r="I28" s="265">
        <v>-8.237080990934153</v>
      </c>
      <c r="J28" s="265">
        <v>-8.441790593618691</v>
      </c>
      <c r="K28" s="265">
        <v>0.23439985405513397</v>
      </c>
      <c r="L28" s="275">
        <v>0.23439985405513397</v>
      </c>
    </row>
    <row r="29" spans="2:12" ht="11.25">
      <c r="B29" s="74" t="s">
        <v>50</v>
      </c>
      <c r="C29" s="265">
        <v>19146.74740868289</v>
      </c>
      <c r="D29" s="265">
        <v>22515.751625135206</v>
      </c>
      <c r="E29" s="265">
        <v>20054.186608165208</v>
      </c>
      <c r="F29" s="265">
        <v>-2461.5650169699984</v>
      </c>
      <c r="G29" s="265">
        <v>907.4391994823163</v>
      </c>
      <c r="H29" s="265">
        <v>-10.932635329935234</v>
      </c>
      <c r="I29" s="265">
        <v>20.034507410775326</v>
      </c>
      <c r="J29" s="265">
        <v>20.007983528201322</v>
      </c>
      <c r="K29" s="265">
        <v>4.739390874665217</v>
      </c>
      <c r="L29" s="275">
        <v>4.739390874665217</v>
      </c>
    </row>
    <row r="30" spans="2:12" ht="11.25">
      <c r="B30" s="74" t="s">
        <v>51</v>
      </c>
      <c r="C30" s="265">
        <v>10082.94237877178</v>
      </c>
      <c r="D30" s="265">
        <v>10773.794029260001</v>
      </c>
      <c r="E30" s="265">
        <v>10464.78864003</v>
      </c>
      <c r="F30" s="265">
        <v>-309.00538923000204</v>
      </c>
      <c r="G30" s="265">
        <v>381.8462612582189</v>
      </c>
      <c r="H30" s="265">
        <v>-2.8681204447643047</v>
      </c>
      <c r="I30" s="265">
        <v>2.4268610602554697</v>
      </c>
      <c r="J30" s="265">
        <v>5.925579062232433</v>
      </c>
      <c r="K30" s="265">
        <v>3.7870519032434657</v>
      </c>
      <c r="L30" s="275">
        <v>3.7870519032434657</v>
      </c>
    </row>
    <row r="31" spans="2:12" ht="12" thickBot="1">
      <c r="B31" s="79" t="s">
        <v>104</v>
      </c>
      <c r="C31" s="265">
        <v>3.93907692556274</v>
      </c>
      <c r="D31" s="265">
        <v>3.9324</v>
      </c>
      <c r="E31" s="265">
        <v>3.9324</v>
      </c>
      <c r="F31" s="265">
        <v>0</v>
      </c>
      <c r="G31" s="265">
        <v>-0.0066769255627399104</v>
      </c>
      <c r="H31" s="265">
        <v>0</v>
      </c>
      <c r="I31" s="265">
        <v>-0.11871559717804292</v>
      </c>
      <c r="J31" s="265">
        <v>-0.1449862646190958</v>
      </c>
      <c r="K31" s="265">
        <v>-0.1695048278800959</v>
      </c>
      <c r="L31" s="276">
        <v>-0.1695048278800959</v>
      </c>
    </row>
    <row r="32" spans="2:11" ht="11.25">
      <c r="B32" s="42"/>
      <c r="C32" s="59"/>
      <c r="D32" s="59"/>
      <c r="E32" s="59"/>
      <c r="F32" s="59"/>
      <c r="G32" s="59"/>
      <c r="H32" s="59"/>
      <c r="I32" s="59"/>
      <c r="J32" s="59"/>
      <c r="K32" s="59"/>
    </row>
    <row r="33" spans="2:11" ht="11.25">
      <c r="B33" s="42"/>
      <c r="C33" s="23"/>
      <c r="D33" s="23"/>
      <c r="E33" s="23"/>
      <c r="F33" s="23"/>
      <c r="G33" s="23"/>
      <c r="H33" s="23"/>
      <c r="I33" s="23"/>
      <c r="J33" s="23"/>
      <c r="K33" s="23"/>
    </row>
    <row r="34" spans="2:11" ht="11.25">
      <c r="B34" s="96"/>
      <c r="C34" s="34"/>
      <c r="D34" s="34"/>
      <c r="E34" s="34"/>
      <c r="F34" s="34"/>
      <c r="G34" s="34"/>
      <c r="H34" s="34"/>
      <c r="I34" s="34"/>
      <c r="J34" s="34"/>
      <c r="K34" s="34"/>
    </row>
    <row r="35" spans="2:12" ht="11.25">
      <c r="B35" s="296" t="s">
        <v>74</v>
      </c>
      <c r="C35" s="297"/>
      <c r="D35" s="297"/>
      <c r="E35" s="297"/>
      <c r="F35" s="297"/>
      <c r="G35" s="297"/>
      <c r="H35" s="297"/>
      <c r="I35" s="297"/>
      <c r="J35" s="297"/>
      <c r="K35" s="297"/>
      <c r="L35" s="197"/>
    </row>
    <row r="36" spans="2:12" ht="11.25">
      <c r="B36" s="294" t="s">
        <v>167</v>
      </c>
      <c r="C36" s="295"/>
      <c r="D36" s="295"/>
      <c r="E36" s="295"/>
      <c r="F36" s="295"/>
      <c r="G36" s="295"/>
      <c r="H36" s="295"/>
      <c r="I36" s="295"/>
      <c r="J36" s="295"/>
      <c r="K36" s="295"/>
      <c r="L36" s="198"/>
    </row>
    <row r="37" spans="2:12" ht="11.25">
      <c r="B37" s="69"/>
      <c r="C37" s="22"/>
      <c r="D37" s="22"/>
      <c r="E37" s="22"/>
      <c r="F37" s="291" t="s">
        <v>106</v>
      </c>
      <c r="G37" s="292"/>
      <c r="H37" s="127" t="s">
        <v>125</v>
      </c>
      <c r="I37" s="298" t="s">
        <v>160</v>
      </c>
      <c r="J37" s="299"/>
      <c r="K37" s="300"/>
      <c r="L37" s="329" t="s">
        <v>161</v>
      </c>
    </row>
    <row r="38" spans="2:12" ht="11.25">
      <c r="B38" s="70"/>
      <c r="C38" s="12">
        <f>C25</f>
        <v>39965</v>
      </c>
      <c r="D38" s="12">
        <f>D25</f>
        <v>40322</v>
      </c>
      <c r="E38" s="12">
        <f>E25</f>
        <v>40355</v>
      </c>
      <c r="F38" s="12" t="s">
        <v>109</v>
      </c>
      <c r="G38" s="58" t="s">
        <v>108</v>
      </c>
      <c r="H38" s="58" t="s">
        <v>127</v>
      </c>
      <c r="I38" s="12">
        <v>39904</v>
      </c>
      <c r="J38" s="12">
        <v>40299</v>
      </c>
      <c r="K38" s="12">
        <v>40210</v>
      </c>
      <c r="L38" s="12">
        <v>40330</v>
      </c>
    </row>
    <row r="39" spans="2:12" ht="11.25">
      <c r="B39" s="80"/>
      <c r="C39" s="36"/>
      <c r="D39" s="85"/>
      <c r="E39" s="85"/>
      <c r="F39" s="36"/>
      <c r="G39" s="37"/>
      <c r="H39" s="37"/>
      <c r="I39" s="37"/>
      <c r="J39" s="37"/>
      <c r="K39" s="37"/>
      <c r="L39" s="277"/>
    </row>
    <row r="40" spans="2:12" ht="11.25">
      <c r="B40" s="81" t="s">
        <v>137</v>
      </c>
      <c r="C40" s="149">
        <v>34024.01223629001</v>
      </c>
      <c r="D40" s="149">
        <v>37124.480349716454</v>
      </c>
      <c r="E40" s="149">
        <v>37644.530801814624</v>
      </c>
      <c r="F40" s="149">
        <v>520.0504520981704</v>
      </c>
      <c r="G40" s="149">
        <v>3620.518565524617</v>
      </c>
      <c r="H40" s="149">
        <v>1.4008289064230426</v>
      </c>
      <c r="I40" s="149">
        <v>9.185462341135576</v>
      </c>
      <c r="J40" s="149">
        <v>8.800945974438346</v>
      </c>
      <c r="K40" s="149">
        <v>7.027607649307943</v>
      </c>
      <c r="L40" s="278">
        <v>10.64106884391187</v>
      </c>
    </row>
    <row r="41" spans="2:12" ht="11.25">
      <c r="B41" s="185" t="s">
        <v>46</v>
      </c>
      <c r="C41" s="186">
        <v>2910.350733605902</v>
      </c>
      <c r="D41" s="186">
        <v>2820.57289021</v>
      </c>
      <c r="E41" s="186">
        <v>2848.4180999800005</v>
      </c>
      <c r="F41" s="186">
        <v>27.845209770000565</v>
      </c>
      <c r="G41" s="186">
        <v>-61.93263362590142</v>
      </c>
      <c r="H41" s="186">
        <v>0.9872182302626971</v>
      </c>
      <c r="I41" s="186">
        <v>3.9421424476035805</v>
      </c>
      <c r="J41" s="186">
        <v>-0.7249013767914203</v>
      </c>
      <c r="K41" s="186">
        <v>7.155031160771319</v>
      </c>
      <c r="L41" s="279">
        <v>-2.12801271375177</v>
      </c>
    </row>
    <row r="42" spans="2:12" ht="11.25">
      <c r="B42" s="82" t="s">
        <v>138</v>
      </c>
      <c r="C42" s="165">
        <v>11570.038923420001</v>
      </c>
      <c r="D42" s="165">
        <v>13153.71419744645</v>
      </c>
      <c r="E42" s="165">
        <v>13474.81741258462</v>
      </c>
      <c r="F42" s="165">
        <v>321.1032151381696</v>
      </c>
      <c r="G42" s="165">
        <v>1904.7784891646188</v>
      </c>
      <c r="H42" s="165">
        <v>2.4411600428455853</v>
      </c>
      <c r="I42" s="165">
        <v>12.240733416125217</v>
      </c>
      <c r="J42" s="165">
        <v>12.542026969932651</v>
      </c>
      <c r="K42" s="165">
        <v>9.512347991601366</v>
      </c>
      <c r="L42" s="280">
        <v>16.46302576656833</v>
      </c>
    </row>
    <row r="43" spans="2:12" ht="11.25">
      <c r="B43" s="83" t="s">
        <v>81</v>
      </c>
      <c r="C43" s="151">
        <v>8708.15021936</v>
      </c>
      <c r="D43" s="151">
        <v>10014.91764398645</v>
      </c>
      <c r="E43" s="151">
        <v>10292.35144201462</v>
      </c>
      <c r="F43" s="150">
        <v>277.4337980281707</v>
      </c>
      <c r="G43" s="150">
        <v>1584.2012226546194</v>
      </c>
      <c r="H43" s="150">
        <v>2.770205486360224</v>
      </c>
      <c r="I43" s="150">
        <v>13.296205685275186</v>
      </c>
      <c r="J43" s="150">
        <v>13.27714191324385</v>
      </c>
      <c r="K43" s="150">
        <v>9.185294254138675</v>
      </c>
      <c r="L43" s="279">
        <v>18.19216690971426</v>
      </c>
    </row>
    <row r="44" spans="2:12" ht="11.25">
      <c r="B44" s="84" t="s">
        <v>82</v>
      </c>
      <c r="C44" s="152">
        <v>2797.3951105200003</v>
      </c>
      <c r="D44" s="152">
        <v>3339.61058362645</v>
      </c>
      <c r="E44" s="152">
        <v>3341.09514709462</v>
      </c>
      <c r="F44" s="150">
        <v>1.4845634681701085</v>
      </c>
      <c r="G44" s="150">
        <v>543.7000365746198</v>
      </c>
      <c r="H44" s="150">
        <v>0.04445319090341472</v>
      </c>
      <c r="I44" s="150">
        <v>20.208470290440573</v>
      </c>
      <c r="J44" s="150">
        <v>21.68948109228479</v>
      </c>
      <c r="K44" s="150">
        <v>20.547479835750316</v>
      </c>
      <c r="L44" s="279">
        <v>19.435940047580647</v>
      </c>
    </row>
    <row r="45" spans="2:12" ht="11.25">
      <c r="B45" s="84" t="s">
        <v>83</v>
      </c>
      <c r="C45" s="152">
        <v>1680.0748957099997</v>
      </c>
      <c r="D45" s="152">
        <v>2009.12202792</v>
      </c>
      <c r="E45" s="152">
        <v>2077.1867594</v>
      </c>
      <c r="F45" s="150">
        <v>68.06473148000009</v>
      </c>
      <c r="G45" s="150">
        <v>397.1118636900003</v>
      </c>
      <c r="H45" s="150">
        <v>3.3877848400510557</v>
      </c>
      <c r="I45" s="150">
        <v>13.02292613525815</v>
      </c>
      <c r="J45" s="150">
        <v>16.473424139264292</v>
      </c>
      <c r="K45" s="150">
        <v>10.972057536996171</v>
      </c>
      <c r="L45" s="279">
        <v>23.63655719777782</v>
      </c>
    </row>
    <row r="46" spans="2:12" ht="11.25">
      <c r="B46" s="84" t="s">
        <v>84</v>
      </c>
      <c r="C46" s="152">
        <v>4230.680213130001</v>
      </c>
      <c r="D46" s="152">
        <v>4666.185032439999</v>
      </c>
      <c r="E46" s="152">
        <v>4874.0695355200005</v>
      </c>
      <c r="F46" s="150">
        <v>207.8845030800012</v>
      </c>
      <c r="G46" s="150">
        <v>643.3893223899995</v>
      </c>
      <c r="H46" s="150">
        <v>4.455127724999283</v>
      </c>
      <c r="I46" s="150">
        <v>9.195384527958716</v>
      </c>
      <c r="J46" s="150">
        <v>6.73511897812451</v>
      </c>
      <c r="K46" s="150">
        <v>1.4104322879135545</v>
      </c>
      <c r="L46" s="279">
        <v>15.207703961959297</v>
      </c>
    </row>
    <row r="47" spans="2:12" ht="11.25">
      <c r="B47" s="83" t="s">
        <v>85</v>
      </c>
      <c r="C47" s="152">
        <v>1938.8512920800001</v>
      </c>
      <c r="D47" s="152">
        <v>2076.60443109</v>
      </c>
      <c r="E47" s="152">
        <v>2103.95231164</v>
      </c>
      <c r="F47" s="150">
        <v>27.3478805499999</v>
      </c>
      <c r="G47" s="150">
        <v>165.10101955999994</v>
      </c>
      <c r="H47" s="150">
        <v>1.3169518537358182</v>
      </c>
      <c r="I47" s="150">
        <v>8.736510883931015</v>
      </c>
      <c r="J47" s="150">
        <v>7.943759013240603</v>
      </c>
      <c r="K47" s="150">
        <v>6.802118730680928</v>
      </c>
      <c r="L47" s="279">
        <v>8.515403952557875</v>
      </c>
    </row>
    <row r="48" spans="2:12" ht="11.25">
      <c r="B48" s="83" t="s">
        <v>86</v>
      </c>
      <c r="C48" s="152">
        <v>62.66200439</v>
      </c>
      <c r="D48" s="152">
        <v>65.772</v>
      </c>
      <c r="E48" s="152">
        <v>64.814</v>
      </c>
      <c r="F48" s="150">
        <v>-0.9580000000000126</v>
      </c>
      <c r="G48" s="150">
        <v>2.151995609999993</v>
      </c>
      <c r="H48" s="150">
        <v>-1.4565468588457284</v>
      </c>
      <c r="I48" s="150">
        <v>13.64840259274831</v>
      </c>
      <c r="J48" s="150">
        <v>13.536041762791573</v>
      </c>
      <c r="K48" s="150">
        <v>14.575980401374888</v>
      </c>
      <c r="L48" s="279">
        <v>3.434291052367655</v>
      </c>
    </row>
    <row r="49" spans="2:12" ht="11.25">
      <c r="B49" s="83" t="s">
        <v>87</v>
      </c>
      <c r="C49" s="152">
        <v>860.37540759</v>
      </c>
      <c r="D49" s="152">
        <v>996.42012237</v>
      </c>
      <c r="E49" s="152">
        <v>1013.69965893</v>
      </c>
      <c r="F49" s="150">
        <v>17.27953656000011</v>
      </c>
      <c r="G49" s="150">
        <v>153.32425134000005</v>
      </c>
      <c r="H49" s="150">
        <v>1.73416174282997</v>
      </c>
      <c r="I49" s="150">
        <v>8.922566712521562</v>
      </c>
      <c r="J49" s="150">
        <v>15.188490842367642</v>
      </c>
      <c r="K49" s="150">
        <v>18.627635883481176</v>
      </c>
      <c r="L49" s="279">
        <v>17.820622252497543</v>
      </c>
    </row>
    <row r="50" spans="2:13" ht="11.25">
      <c r="B50" s="82" t="s">
        <v>121</v>
      </c>
      <c r="C50" s="164">
        <v>22352.385312870003</v>
      </c>
      <c r="D50" s="164">
        <v>23862.58415227</v>
      </c>
      <c r="E50" s="164">
        <v>24057.514389230004</v>
      </c>
      <c r="F50" s="165">
        <v>194.93023696000455</v>
      </c>
      <c r="G50" s="165">
        <v>1705.129076360001</v>
      </c>
      <c r="H50" s="165">
        <v>0.8168865354905882</v>
      </c>
      <c r="I50" s="165">
        <v>7.4859123291766805</v>
      </c>
      <c r="J50" s="165">
        <v>6.78113381271559</v>
      </c>
      <c r="K50" s="165">
        <v>5.6398626449992495</v>
      </c>
      <c r="L50" s="280">
        <v>7.628398725652907</v>
      </c>
      <c r="M50" s="49"/>
    </row>
    <row r="51" spans="2:12" ht="11.25">
      <c r="B51" s="83" t="s">
        <v>88</v>
      </c>
      <c r="C51" s="153">
        <v>18373.31968571</v>
      </c>
      <c r="D51" s="153">
        <v>19761.197829700002</v>
      </c>
      <c r="E51" s="153">
        <v>19927.61517797</v>
      </c>
      <c r="F51" s="150">
        <v>166.4173482699989</v>
      </c>
      <c r="G51" s="150">
        <v>1554.2954922600002</v>
      </c>
      <c r="H51" s="150">
        <v>0.8421420083143073</v>
      </c>
      <c r="I51" s="150">
        <v>8.782177101674748</v>
      </c>
      <c r="J51" s="150">
        <v>7.9815357955837385</v>
      </c>
      <c r="K51" s="150">
        <v>7.077165603207836</v>
      </c>
      <c r="L51" s="279">
        <v>8.45952456522523</v>
      </c>
    </row>
    <row r="52" spans="2:12" ht="11.25">
      <c r="B52" s="84" t="s">
        <v>82</v>
      </c>
      <c r="C52" s="152">
        <v>14758.965995893</v>
      </c>
      <c r="D52" s="152">
        <v>15891.16364707</v>
      </c>
      <c r="E52" s="152">
        <v>16016.276597819999</v>
      </c>
      <c r="F52" s="150">
        <v>125.11295074999907</v>
      </c>
      <c r="G52" s="150">
        <v>1257.310601926998</v>
      </c>
      <c r="H52" s="150">
        <v>0.7873114488570967</v>
      </c>
      <c r="I52" s="150">
        <v>8.564563880922748</v>
      </c>
      <c r="J52" s="150">
        <v>7.885212362603289</v>
      </c>
      <c r="K52" s="150">
        <v>6.555783930677395</v>
      </c>
      <c r="L52" s="279">
        <v>8.518961303094486</v>
      </c>
    </row>
    <row r="53" spans="2:12" ht="11.25">
      <c r="B53" s="84" t="s">
        <v>89</v>
      </c>
      <c r="C53" s="152">
        <v>2285.357084977001</v>
      </c>
      <c r="D53" s="152">
        <v>2462.32766153</v>
      </c>
      <c r="E53" s="152">
        <v>2509.2895921500003</v>
      </c>
      <c r="F53" s="150">
        <v>46.9619306200002</v>
      </c>
      <c r="G53" s="150">
        <v>223.93250717299952</v>
      </c>
      <c r="H53" s="150">
        <v>1.9072169538484487</v>
      </c>
      <c r="I53" s="150">
        <v>8.698464168051867</v>
      </c>
      <c r="J53" s="150">
        <v>11.110939859031465</v>
      </c>
      <c r="K53" s="150">
        <v>7.520072347756579</v>
      </c>
      <c r="L53" s="279">
        <v>9.798578464828967</v>
      </c>
    </row>
    <row r="54" spans="2:12" ht="11.25">
      <c r="B54" s="84" t="s">
        <v>84</v>
      </c>
      <c r="C54" s="152">
        <v>1328.99660484</v>
      </c>
      <c r="D54" s="152">
        <v>1407.7065211</v>
      </c>
      <c r="E54" s="152">
        <v>1402.048988</v>
      </c>
      <c r="F54" s="150">
        <v>-5.65753309999991</v>
      </c>
      <c r="G54" s="150">
        <v>73.05238316000009</v>
      </c>
      <c r="H54" s="150">
        <v>-0.40189720053147443</v>
      </c>
      <c r="I54" s="150">
        <v>11.452109528254727</v>
      </c>
      <c r="J54" s="150">
        <v>3.909719620371055</v>
      </c>
      <c r="K54" s="150">
        <v>12.229764842282842</v>
      </c>
      <c r="L54" s="279">
        <v>5.496807357818279</v>
      </c>
    </row>
    <row r="55" spans="2:12" ht="11.25">
      <c r="B55" s="83" t="s">
        <v>85</v>
      </c>
      <c r="C55" s="152">
        <v>3285.8828602900003</v>
      </c>
      <c r="D55" s="152">
        <v>3372.67532063</v>
      </c>
      <c r="E55" s="152">
        <v>3385.27809879</v>
      </c>
      <c r="F55" s="150">
        <v>12.60277816000007</v>
      </c>
      <c r="G55" s="150">
        <v>99.39523849999978</v>
      </c>
      <c r="H55" s="150">
        <v>0.37367303288612824</v>
      </c>
      <c r="I55" s="150">
        <v>1.9309903554092234</v>
      </c>
      <c r="J55" s="150">
        <v>2.6514606038734234</v>
      </c>
      <c r="K55" s="150">
        <v>0.3243698299681075</v>
      </c>
      <c r="L55" s="279">
        <v>3.0249172817812253</v>
      </c>
    </row>
    <row r="56" spans="2:12" ht="11.25">
      <c r="B56" s="83" t="s">
        <v>86</v>
      </c>
      <c r="C56" s="152">
        <v>78.50164518999998</v>
      </c>
      <c r="D56" s="152">
        <v>92.03786237999999</v>
      </c>
      <c r="E56" s="152">
        <v>102.36931501</v>
      </c>
      <c r="F56" s="150">
        <v>10.331452630000001</v>
      </c>
      <c r="G56" s="150">
        <v>23.867669820000017</v>
      </c>
      <c r="H56" s="150">
        <v>11.225220102727034</v>
      </c>
      <c r="I56" s="150">
        <v>-1.2729613318806066</v>
      </c>
      <c r="J56" s="150">
        <v>9.648900697563478</v>
      </c>
      <c r="K56" s="150">
        <v>-3.15214026462457</v>
      </c>
      <c r="L56" s="279">
        <v>30.404037727148726</v>
      </c>
    </row>
    <row r="57" spans="2:12" ht="11.25">
      <c r="B57" s="83" t="s">
        <v>87</v>
      </c>
      <c r="C57" s="152">
        <v>614.6811216799999</v>
      </c>
      <c r="D57" s="152">
        <v>636.6731395600001</v>
      </c>
      <c r="E57" s="152">
        <v>642.2517974599999</v>
      </c>
      <c r="F57" s="150">
        <v>5.5786578999998255</v>
      </c>
      <c r="G57" s="150">
        <v>27.570675779999988</v>
      </c>
      <c r="H57" s="150">
        <v>0.876220081132242</v>
      </c>
      <c r="I57" s="150">
        <v>1.0246781778773695</v>
      </c>
      <c r="J57" s="150">
        <v>-5.978695135958612</v>
      </c>
      <c r="K57" s="150">
        <v>-5.553997439802593</v>
      </c>
      <c r="L57" s="279">
        <v>4.485362378568891</v>
      </c>
    </row>
    <row r="58" spans="2:12" ht="12" thickBot="1">
      <c r="B58" s="268" t="s">
        <v>90</v>
      </c>
      <c r="C58" s="166">
        <v>101.58799999999998</v>
      </c>
      <c r="D58" s="166">
        <v>108.18199999999999</v>
      </c>
      <c r="E58" s="191">
        <v>112.19899999999998</v>
      </c>
      <c r="F58" s="166">
        <v>4.016999999999996</v>
      </c>
      <c r="G58" s="166">
        <v>10.611000000000004</v>
      </c>
      <c r="H58" s="166">
        <v>3.713187036660439</v>
      </c>
      <c r="I58" s="166">
        <v>25.561996324049208</v>
      </c>
      <c r="J58" s="166">
        <v>25.13388777717371</v>
      </c>
      <c r="K58" s="166">
        <v>27.39292124681785</v>
      </c>
      <c r="L58" s="281">
        <v>10.445131314722222</v>
      </c>
    </row>
    <row r="59" ht="11.25">
      <c r="B59" s="54" t="s">
        <v>120</v>
      </c>
    </row>
    <row r="62" spans="2:11" ht="12">
      <c r="B62" s="293"/>
      <c r="C62" s="293"/>
      <c r="D62" s="293"/>
      <c r="E62" s="293"/>
      <c r="F62" s="293"/>
      <c r="G62" s="293"/>
      <c r="H62" s="293"/>
      <c r="I62" s="293"/>
      <c r="J62" s="293"/>
      <c r="K62" s="293"/>
    </row>
  </sheetData>
  <sheetProtection/>
  <mergeCells count="13">
    <mergeCell ref="B2:K2"/>
    <mergeCell ref="B22:K22"/>
    <mergeCell ref="B23:K23"/>
    <mergeCell ref="B3:K3"/>
    <mergeCell ref="I4:K4"/>
    <mergeCell ref="F4:G4"/>
    <mergeCell ref="F24:G24"/>
    <mergeCell ref="I24:K24"/>
    <mergeCell ref="B62:K62"/>
    <mergeCell ref="B36:K36"/>
    <mergeCell ref="I37:K37"/>
    <mergeCell ref="F37:G37"/>
    <mergeCell ref="B35:K35"/>
  </mergeCell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X37"/>
  <sheetViews>
    <sheetView showGridLines="0" zoomScale="80" zoomScaleNormal="80" workbookViewId="0" topLeftCell="A34">
      <selection activeCell="S46" sqref="S45:S46"/>
    </sheetView>
  </sheetViews>
  <sheetFormatPr defaultColWidth="9.140625" defaultRowHeight="12"/>
  <cols>
    <col min="1" max="16384" width="9.28125" style="1" customWidth="1"/>
  </cols>
  <sheetData>
    <row r="2" spans="1:14" ht="1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5">
      <c r="A3" s="63"/>
      <c r="N3" s="63"/>
    </row>
    <row r="4" spans="1:17" ht="15">
      <c r="A4" s="183"/>
      <c r="N4" s="183"/>
      <c r="O4" s="184"/>
      <c r="P4" s="184"/>
      <c r="Q4" s="184"/>
    </row>
    <row r="5" spans="1:17" ht="15.75">
      <c r="A5" s="183"/>
      <c r="B5" s="93"/>
      <c r="C5" s="94"/>
      <c r="D5" s="94"/>
      <c r="E5" s="94"/>
      <c r="F5" s="94"/>
      <c r="G5" s="94"/>
      <c r="H5" s="94"/>
      <c r="I5" s="94"/>
      <c r="J5" s="94"/>
      <c r="K5" s="94"/>
      <c r="L5" s="95"/>
      <c r="M5" s="95"/>
      <c r="N5" s="183"/>
      <c r="O5" s="184"/>
      <c r="P5" s="184"/>
      <c r="Q5" s="184"/>
    </row>
    <row r="6" spans="1:17" ht="15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4"/>
      <c r="P6" s="184"/>
      <c r="Q6" s="184"/>
    </row>
    <row r="7" spans="1:17" ht="15">
      <c r="A7" s="183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4"/>
      <c r="P7" s="184"/>
      <c r="Q7" s="184"/>
    </row>
    <row r="8" spans="1:17" ht="15.75">
      <c r="A8" s="183"/>
      <c r="B8" s="183"/>
      <c r="C8" s="301" t="s">
        <v>165</v>
      </c>
      <c r="D8" s="302"/>
      <c r="E8" s="302"/>
      <c r="F8" s="302"/>
      <c r="G8" s="302"/>
      <c r="H8" s="302"/>
      <c r="I8" s="302"/>
      <c r="J8" s="302"/>
      <c r="K8" s="302"/>
      <c r="L8" s="302"/>
      <c r="M8" s="303"/>
      <c r="N8" s="303"/>
      <c r="O8" s="184"/>
      <c r="P8" s="184"/>
      <c r="Q8" s="184"/>
    </row>
    <row r="9" spans="1:17" ht="15">
      <c r="A9" s="183"/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4"/>
      <c r="P9" s="184"/>
      <c r="Q9" s="184"/>
    </row>
    <row r="10" spans="1:17" ht="15">
      <c r="A10" s="183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4"/>
      <c r="P10" s="184"/>
      <c r="Q10" s="184"/>
    </row>
    <row r="11" spans="1:17" ht="15">
      <c r="A11" s="183"/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4"/>
      <c r="P11" s="184"/>
      <c r="Q11" s="184"/>
    </row>
    <row r="12" spans="1:17" ht="15">
      <c r="A12" s="183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4"/>
      <c r="P12" s="184"/>
      <c r="Q12" s="184"/>
    </row>
    <row r="13" spans="1:17" ht="15">
      <c r="A13" s="183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4"/>
      <c r="P13" s="184"/>
      <c r="Q13" s="184"/>
    </row>
    <row r="14" spans="1:17" ht="15">
      <c r="A14" s="183"/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4"/>
      <c r="P14" s="184"/>
      <c r="Q14" s="184"/>
    </row>
    <row r="15" spans="1:17" ht="15">
      <c r="A15" s="183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4"/>
      <c r="P15" s="184"/>
      <c r="Q15" s="184"/>
    </row>
    <row r="16" spans="1:24" ht="15">
      <c r="A16" s="183"/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4"/>
      <c r="P16" s="184"/>
      <c r="Q16" s="184"/>
      <c r="X16" s="262"/>
    </row>
    <row r="17" spans="1:17" ht="15">
      <c r="A17" s="183"/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4"/>
      <c r="P17" s="184"/>
      <c r="Q17" s="184"/>
    </row>
    <row r="18" spans="1:17" ht="15">
      <c r="A18" s="183"/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4"/>
      <c r="P18" s="184"/>
      <c r="Q18" s="184"/>
    </row>
    <row r="19" spans="1:17" ht="15">
      <c r="A19" s="183"/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4"/>
      <c r="P19" s="184"/>
      <c r="Q19" s="184"/>
    </row>
    <row r="20" spans="1:17" ht="15">
      <c r="A20" s="183"/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4"/>
      <c r="P20" s="184"/>
      <c r="Q20" s="184"/>
    </row>
    <row r="21" spans="1:17" ht="15">
      <c r="A21" s="184"/>
      <c r="B21" s="184"/>
      <c r="C21" s="184"/>
      <c r="D21" s="183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</row>
    <row r="22" spans="1:17" ht="15">
      <c r="A22" s="184"/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</row>
    <row r="23" spans="1:17" ht="15">
      <c r="A23" s="184"/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</row>
    <row r="24" spans="1:17" ht="15">
      <c r="A24" s="184"/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</row>
    <row r="25" spans="1:17" ht="15">
      <c r="A25" s="184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</row>
    <row r="26" spans="1:17" ht="15">
      <c r="A26" s="184"/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</row>
    <row r="27" spans="1:17" ht="15">
      <c r="A27" s="184"/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</row>
    <row r="28" spans="1:17" ht="15">
      <c r="A28" s="184"/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</row>
    <row r="29" spans="1:17" ht="15">
      <c r="A29" s="184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</row>
    <row r="30" spans="1:17" ht="15">
      <c r="A30" s="184"/>
      <c r="C30" s="15"/>
      <c r="D30" s="189"/>
      <c r="E30" s="189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</row>
    <row r="31" spans="1:17" ht="15">
      <c r="A31" s="184"/>
      <c r="C31" s="94"/>
      <c r="D31" s="94"/>
      <c r="E31" s="94"/>
      <c r="F31" s="94"/>
      <c r="G31" s="94"/>
      <c r="H31" s="94"/>
      <c r="I31" s="94"/>
      <c r="J31" s="94"/>
      <c r="K31" s="94"/>
      <c r="L31" s="95"/>
      <c r="M31" s="95"/>
      <c r="N31" s="184"/>
      <c r="O31" s="184"/>
      <c r="P31" s="184"/>
      <c r="Q31" s="184"/>
    </row>
    <row r="32" spans="1:17" ht="15">
      <c r="A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</row>
    <row r="33" spans="1:17" ht="15">
      <c r="A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</row>
    <row r="34" spans="1:17" ht="15.75">
      <c r="A34" s="184"/>
      <c r="C34" s="93" t="s">
        <v>169</v>
      </c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</row>
    <row r="35" spans="1:17" ht="15">
      <c r="A35" s="184"/>
      <c r="N35" s="184"/>
      <c r="O35" s="184"/>
      <c r="P35" s="184"/>
      <c r="Q35" s="184"/>
    </row>
    <row r="36" spans="2:5" ht="15">
      <c r="B36" s="126"/>
      <c r="C36" s="61"/>
      <c r="D36" s="61"/>
      <c r="E36" s="61"/>
    </row>
    <row r="37" ht="15">
      <c r="B37" s="188"/>
    </row>
  </sheetData>
  <sheetProtection/>
  <mergeCells count="1">
    <mergeCell ref="C8:N8"/>
  </mergeCells>
  <printOptions horizontalCentered="1"/>
  <pageMargins left="0.43" right="0.29" top="1" bottom="1" header="0.5" footer="0.5"/>
  <pageSetup fitToHeight="1" fitToWidth="1" horizontalDpi="600" verticalDpi="600" orientation="portrait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64"/>
  <sheetViews>
    <sheetView showGridLines="0" zoomScale="80" zoomScaleNormal="80" zoomScalePageLayoutView="0" workbookViewId="0" topLeftCell="A1">
      <selection activeCell="Q38" sqref="Q38"/>
    </sheetView>
  </sheetViews>
  <sheetFormatPr defaultColWidth="9.140625" defaultRowHeight="12"/>
  <sheetData>
    <row r="4" spans="2:13" ht="18.75" customHeight="1">
      <c r="B4" s="301" t="s">
        <v>163</v>
      </c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</row>
    <row r="5" spans="2:13" ht="18.75" customHeight="1">
      <c r="B5" s="93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2:13" ht="18.75" customHeight="1">
      <c r="B6" s="93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</row>
    <row r="7" spans="2:13" ht="15.75">
      <c r="B7" s="93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</row>
    <row r="8" spans="2:13" ht="15.75">
      <c r="B8" s="93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</row>
    <row r="9" spans="2:13" ht="15.75">
      <c r="B9" s="93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</row>
    <row r="10" spans="2:13" ht="15.75">
      <c r="B10" s="93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</row>
    <row r="11" spans="2:13" ht="15.75">
      <c r="B11" s="93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</row>
    <row r="33" spans="2:13" ht="18">
      <c r="B33" s="304" t="s">
        <v>128</v>
      </c>
      <c r="C33" s="305"/>
      <c r="D33" s="305"/>
      <c r="E33" s="305"/>
      <c r="F33" s="305"/>
      <c r="G33" s="305"/>
      <c r="H33" s="305"/>
      <c r="I33" s="305"/>
      <c r="J33" s="305"/>
      <c r="K33" s="305"/>
      <c r="L33" s="305"/>
      <c r="M33" s="305"/>
    </row>
    <row r="34" ht="11.25">
      <c r="A34" s="129"/>
    </row>
    <row r="39" spans="2:13" ht="15.75">
      <c r="B39" s="93"/>
      <c r="C39" s="283"/>
      <c r="D39" s="94"/>
      <c r="E39" s="94"/>
      <c r="F39" s="94"/>
      <c r="G39" s="94"/>
      <c r="H39" s="94"/>
      <c r="I39" s="94"/>
      <c r="J39" s="94"/>
      <c r="K39" s="94"/>
      <c r="L39" s="94"/>
      <c r="M39" s="94"/>
    </row>
    <row r="64" ht="11.25">
      <c r="B64" s="61"/>
    </row>
  </sheetData>
  <sheetProtection/>
  <mergeCells count="2">
    <mergeCell ref="B4:M4"/>
    <mergeCell ref="B33:M33"/>
  </mergeCells>
  <printOptions/>
  <pageMargins left="0.7" right="0.7" top="0.75" bottom="0.75" header="0.3" footer="0.3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88"/>
  <sheetViews>
    <sheetView showGridLines="0" zoomScale="110" zoomScaleNormal="110" zoomScaleSheetLayoutView="75" zoomScalePageLayoutView="0" workbookViewId="0" topLeftCell="A58">
      <selection activeCell="D86" sqref="D86"/>
    </sheetView>
  </sheetViews>
  <sheetFormatPr defaultColWidth="9.140625" defaultRowHeight="12"/>
  <cols>
    <col min="1" max="1" width="83.140625" style="2" customWidth="1"/>
    <col min="2" max="2" width="12.421875" style="2" customWidth="1"/>
    <col min="3" max="3" width="17.00390625" style="2" bestFit="1" customWidth="1"/>
    <col min="4" max="4" width="24.140625" style="2" customWidth="1"/>
    <col min="5" max="6" width="9.28125" style="2" customWidth="1"/>
    <col min="7" max="7" width="17.28125" style="2" bestFit="1" customWidth="1"/>
    <col min="8" max="8" width="9.28125" style="2" customWidth="1"/>
    <col min="9" max="9" width="16.140625" style="2" bestFit="1" customWidth="1"/>
    <col min="10" max="16384" width="9.28125" style="2" customWidth="1"/>
  </cols>
  <sheetData>
    <row r="1" ht="12.75" thickBot="1">
      <c r="A1" s="21" t="s">
        <v>42</v>
      </c>
    </row>
    <row r="2" spans="1:4" ht="12.75" thickBot="1">
      <c r="A2" s="3" t="s">
        <v>2</v>
      </c>
      <c r="B2" s="47">
        <v>40299</v>
      </c>
      <c r="C2" s="47">
        <v>40330</v>
      </c>
      <c r="D2" s="4"/>
    </row>
    <row r="3" spans="1:4" ht="12">
      <c r="A3" s="5"/>
      <c r="B3" s="32"/>
      <c r="C3" s="32"/>
      <c r="D3" s="4"/>
    </row>
    <row r="4" spans="1:4" ht="12">
      <c r="A4" s="5" t="s">
        <v>158</v>
      </c>
      <c r="B4" s="33">
        <v>7</v>
      </c>
      <c r="C4" s="33">
        <v>7</v>
      </c>
      <c r="D4" s="4"/>
    </row>
    <row r="5" spans="1:4" ht="12">
      <c r="A5" s="5"/>
      <c r="B5" s="33"/>
      <c r="C5" s="33"/>
      <c r="D5" s="4"/>
    </row>
    <row r="6" spans="1:4" ht="12">
      <c r="A6" s="5" t="s">
        <v>38</v>
      </c>
      <c r="B6" s="33">
        <v>11.25</v>
      </c>
      <c r="C6" s="33">
        <v>11.25</v>
      </c>
      <c r="D6" s="4"/>
    </row>
    <row r="7" spans="1:4" ht="12">
      <c r="A7" s="5"/>
      <c r="B7" s="33"/>
      <c r="C7" s="33"/>
      <c r="D7" s="4"/>
    </row>
    <row r="8" spans="1:4" ht="12">
      <c r="A8" s="5" t="s">
        <v>3</v>
      </c>
      <c r="B8" s="33">
        <v>11.63</v>
      </c>
      <c r="C8" s="33">
        <v>11.63</v>
      </c>
      <c r="D8" s="4"/>
    </row>
    <row r="9" spans="1:4" ht="12">
      <c r="A9" s="5"/>
      <c r="B9" s="33"/>
      <c r="C9" s="33"/>
      <c r="D9" s="4"/>
    </row>
    <row r="10" spans="1:4" ht="12">
      <c r="A10" s="5" t="s">
        <v>100</v>
      </c>
      <c r="B10" s="33">
        <v>9.87</v>
      </c>
      <c r="C10" s="33">
        <v>9.78</v>
      </c>
      <c r="D10" s="4"/>
    </row>
    <row r="11" spans="1:4" ht="12">
      <c r="A11" s="5"/>
      <c r="B11" s="33"/>
      <c r="C11" s="33"/>
      <c r="D11" s="4"/>
    </row>
    <row r="12" spans="1:4" ht="12">
      <c r="A12" s="5" t="s">
        <v>4</v>
      </c>
      <c r="B12" s="33">
        <v>5.29</v>
      </c>
      <c r="C12" s="33">
        <v>5.06</v>
      </c>
      <c r="D12" s="4"/>
    </row>
    <row r="13" spans="1:4" ht="12">
      <c r="A13" s="5"/>
      <c r="B13" s="33"/>
      <c r="C13" s="33"/>
      <c r="D13" s="4"/>
    </row>
    <row r="14" spans="1:4" ht="12">
      <c r="A14" s="6" t="s">
        <v>5</v>
      </c>
      <c r="B14" s="33"/>
      <c r="C14" s="33"/>
      <c r="D14" s="4"/>
    </row>
    <row r="15" spans="1:3" ht="12">
      <c r="A15" s="5"/>
      <c r="B15" s="33"/>
      <c r="C15" s="33"/>
    </row>
    <row r="16" spans="1:3" ht="12">
      <c r="A16" s="5" t="s">
        <v>6</v>
      </c>
      <c r="B16" s="50">
        <v>6.64</v>
      </c>
      <c r="C16" s="50">
        <v>6.64</v>
      </c>
    </row>
    <row r="17" spans="1:3" ht="12">
      <c r="A17" s="5" t="s">
        <v>37</v>
      </c>
      <c r="B17" s="50">
        <v>6.93</v>
      </c>
      <c r="C17" s="50">
        <v>6.92</v>
      </c>
    </row>
    <row r="18" spans="1:3" ht="12">
      <c r="A18" s="5" t="s">
        <v>7</v>
      </c>
      <c r="B18" s="50">
        <v>150</v>
      </c>
      <c r="C18" s="50">
        <v>160</v>
      </c>
    </row>
    <row r="19" spans="1:3" ht="12">
      <c r="A19" s="5" t="s">
        <v>8</v>
      </c>
      <c r="B19" s="50">
        <v>150</v>
      </c>
      <c r="C19" s="50">
        <v>156.64</v>
      </c>
    </row>
    <row r="20" spans="1:3" ht="12">
      <c r="A20" s="5"/>
      <c r="B20" s="33"/>
      <c r="C20" s="33"/>
    </row>
    <row r="21" spans="1:3" ht="12">
      <c r="A21" s="6" t="s">
        <v>171</v>
      </c>
      <c r="B21" s="33"/>
      <c r="C21" s="33"/>
    </row>
    <row r="22" spans="1:3" ht="12">
      <c r="A22" s="5"/>
      <c r="B22" s="33"/>
      <c r="C22" s="33"/>
    </row>
    <row r="23" spans="1:3" ht="12">
      <c r="A23" s="5" t="s">
        <v>6</v>
      </c>
      <c r="B23" s="286">
        <v>6.69</v>
      </c>
      <c r="C23" s="286">
        <v>6.81</v>
      </c>
    </row>
    <row r="24" spans="1:3" ht="12">
      <c r="A24" s="5" t="s">
        <v>36</v>
      </c>
      <c r="B24" s="286">
        <v>7.04</v>
      </c>
      <c r="C24" s="286">
        <v>6.99</v>
      </c>
    </row>
    <row r="25" spans="1:3" ht="12">
      <c r="A25" s="5" t="s">
        <v>7</v>
      </c>
      <c r="B25" s="50">
        <v>150</v>
      </c>
      <c r="C25" s="50">
        <v>200</v>
      </c>
    </row>
    <row r="26" spans="1:3" ht="12">
      <c r="A26" s="5" t="s">
        <v>8</v>
      </c>
      <c r="B26" s="50">
        <v>150</v>
      </c>
      <c r="C26" s="50">
        <v>200</v>
      </c>
    </row>
    <row r="27" spans="1:3" ht="12">
      <c r="A27" s="5"/>
      <c r="B27" s="33"/>
      <c r="C27" s="33"/>
    </row>
    <row r="28" spans="1:3" ht="12">
      <c r="A28" s="6" t="s">
        <v>159</v>
      </c>
      <c r="B28" s="33"/>
      <c r="C28" s="33"/>
    </row>
    <row r="29" spans="1:3" ht="12">
      <c r="A29" s="5"/>
      <c r="B29" s="48"/>
      <c r="C29" s="48"/>
    </row>
    <row r="30" spans="1:3" ht="12">
      <c r="A30" s="5" t="s">
        <v>6</v>
      </c>
      <c r="B30" s="50">
        <v>6.86</v>
      </c>
      <c r="C30" s="50">
        <v>6.84</v>
      </c>
    </row>
    <row r="31" spans="1:3" ht="12">
      <c r="A31" s="5" t="s">
        <v>36</v>
      </c>
      <c r="B31" s="50">
        <v>7.37</v>
      </c>
      <c r="C31" s="50">
        <v>7.34</v>
      </c>
    </row>
    <row r="32" spans="1:3" ht="12">
      <c r="A32" s="5" t="s">
        <v>7</v>
      </c>
      <c r="B32" s="50">
        <v>250</v>
      </c>
      <c r="C32" s="50">
        <v>282.22</v>
      </c>
    </row>
    <row r="33" spans="1:3" ht="12">
      <c r="A33" s="5" t="s">
        <v>8</v>
      </c>
      <c r="B33" s="50">
        <v>250</v>
      </c>
      <c r="C33" s="50">
        <v>330</v>
      </c>
    </row>
    <row r="34" spans="1:3" ht="12">
      <c r="A34" s="5"/>
      <c r="B34" s="33"/>
      <c r="C34" s="33"/>
    </row>
    <row r="35" spans="1:3" ht="12">
      <c r="A35" s="5"/>
      <c r="B35" s="33"/>
      <c r="C35" s="33"/>
    </row>
    <row r="36" spans="1:3" ht="12">
      <c r="A36" s="5"/>
      <c r="B36" s="33"/>
      <c r="C36" s="33"/>
    </row>
    <row r="37" spans="1:3" ht="12">
      <c r="A37" s="6" t="s">
        <v>39</v>
      </c>
      <c r="B37" s="130">
        <v>3506.64</v>
      </c>
      <c r="C37" s="130">
        <v>3462.22</v>
      </c>
    </row>
    <row r="38" spans="1:3" ht="12">
      <c r="A38" s="5"/>
      <c r="B38" s="33"/>
      <c r="C38" s="33"/>
    </row>
    <row r="39" spans="1:3" ht="12">
      <c r="A39" s="5"/>
      <c r="B39" s="30"/>
      <c r="C39" s="30"/>
    </row>
    <row r="40" spans="1:3" ht="12.75" thickBot="1">
      <c r="A40" s="5"/>
      <c r="B40" s="65"/>
      <c r="C40" s="65"/>
    </row>
    <row r="41" spans="1:3" ht="12.75" thickBot="1">
      <c r="A41" s="3" t="s">
        <v>9</v>
      </c>
      <c r="B41" s="47">
        <f>B2</f>
        <v>40299</v>
      </c>
      <c r="C41" s="47">
        <f>C2</f>
        <v>40330</v>
      </c>
    </row>
    <row r="42" spans="1:3" ht="12">
      <c r="A42" s="5"/>
      <c r="B42" s="66"/>
      <c r="C42" s="66"/>
    </row>
    <row r="43" spans="1:3" ht="12">
      <c r="A43" s="6" t="s">
        <v>10</v>
      </c>
      <c r="B43" s="30"/>
      <c r="C43" s="30"/>
    </row>
    <row r="44" spans="1:3" ht="12">
      <c r="A44" s="7" t="s">
        <v>79</v>
      </c>
      <c r="B44" s="30"/>
      <c r="C44" s="30"/>
    </row>
    <row r="45" spans="1:3" ht="12">
      <c r="A45" s="5" t="s">
        <v>11</v>
      </c>
      <c r="B45" s="289">
        <v>8.82</v>
      </c>
      <c r="C45" s="289">
        <v>8.82</v>
      </c>
    </row>
    <row r="46" spans="1:3" ht="12">
      <c r="A46" s="5" t="s">
        <v>7</v>
      </c>
      <c r="B46" s="289">
        <v>8</v>
      </c>
      <c r="C46" s="289">
        <v>8</v>
      </c>
    </row>
    <row r="47" spans="1:3" ht="12">
      <c r="A47" s="5" t="s">
        <v>8</v>
      </c>
      <c r="B47" s="289">
        <v>0</v>
      </c>
      <c r="C47" s="289">
        <v>0</v>
      </c>
    </row>
    <row r="48" spans="1:3" ht="12">
      <c r="A48" s="5"/>
      <c r="B48" s="33"/>
      <c r="C48" s="33"/>
    </row>
    <row r="49" spans="1:3" ht="12">
      <c r="A49" s="5" t="s">
        <v>12</v>
      </c>
      <c r="B49" s="130">
        <v>5448.99</v>
      </c>
      <c r="C49" s="130">
        <v>5448.99</v>
      </c>
    </row>
    <row r="50" spans="1:4" ht="12.75" thickBot="1">
      <c r="A50" s="5"/>
      <c r="B50" s="65"/>
      <c r="C50" s="65"/>
      <c r="D50" s="9"/>
    </row>
    <row r="51" spans="1:3" ht="12.75" thickBot="1">
      <c r="A51" s="3" t="s">
        <v>13</v>
      </c>
      <c r="B51" s="47">
        <f>B41</f>
        <v>40299</v>
      </c>
      <c r="C51" s="47">
        <f>C41</f>
        <v>40330</v>
      </c>
    </row>
    <row r="52" spans="1:3" ht="12">
      <c r="A52" s="5"/>
      <c r="B52" s="66"/>
      <c r="C52" s="66"/>
    </row>
    <row r="53" spans="1:3" ht="12">
      <c r="A53" s="6" t="s">
        <v>14</v>
      </c>
      <c r="B53" s="30"/>
      <c r="C53" s="30"/>
    </row>
    <row r="54" spans="1:3" ht="12">
      <c r="A54" s="5"/>
      <c r="B54" s="30"/>
      <c r="C54" s="30"/>
    </row>
    <row r="55" spans="1:4" ht="12">
      <c r="A55" s="5" t="s">
        <v>15</v>
      </c>
      <c r="B55" s="130">
        <v>71.4</v>
      </c>
      <c r="C55" s="130">
        <v>18.57</v>
      </c>
      <c r="D55" s="8"/>
    </row>
    <row r="56" spans="1:9" ht="12">
      <c r="A56" s="5" t="s">
        <v>16</v>
      </c>
      <c r="B56" s="131">
        <v>2544</v>
      </c>
      <c r="C56" s="131">
        <v>567.79</v>
      </c>
      <c r="D56" s="8"/>
      <c r="G56" s="9"/>
      <c r="I56" s="9"/>
    </row>
    <row r="57" spans="1:4" ht="12">
      <c r="A57" s="5" t="s">
        <v>17</v>
      </c>
      <c r="B57" s="131">
        <v>759.23</v>
      </c>
      <c r="C57" s="131">
        <v>719.5</v>
      </c>
      <c r="D57" s="10"/>
    </row>
    <row r="58" spans="1:4" ht="12">
      <c r="A58" s="5" t="s">
        <v>18</v>
      </c>
      <c r="B58" s="131">
        <v>1010.97</v>
      </c>
      <c r="C58" s="131">
        <v>958.46</v>
      </c>
      <c r="D58" s="10"/>
    </row>
    <row r="59" spans="1:3" ht="12">
      <c r="A59" s="5" t="s">
        <v>19</v>
      </c>
      <c r="B59" s="130">
        <v>417.29</v>
      </c>
      <c r="C59" s="130">
        <v>385.676</v>
      </c>
    </row>
    <row r="60" spans="1:9" ht="12">
      <c r="A60" s="5" t="s">
        <v>20</v>
      </c>
      <c r="B60" s="131">
        <v>509.31</v>
      </c>
      <c r="C60" s="131">
        <v>487.603</v>
      </c>
      <c r="G60" s="9"/>
      <c r="I60" s="9"/>
    </row>
    <row r="61" spans="1:9" ht="12">
      <c r="A61" s="5" t="s">
        <v>21</v>
      </c>
      <c r="B61" s="131">
        <v>13.51</v>
      </c>
      <c r="C61" s="131">
        <v>12.26</v>
      </c>
      <c r="G61" s="9"/>
      <c r="I61" s="9"/>
    </row>
    <row r="62" spans="1:3" ht="12">
      <c r="A62" s="5" t="s">
        <v>22</v>
      </c>
      <c r="B62" s="131">
        <v>67.31</v>
      </c>
      <c r="C62" s="131">
        <v>69.48</v>
      </c>
    </row>
    <row r="63" spans="1:3" ht="12">
      <c r="A63" s="5" t="s">
        <v>23</v>
      </c>
      <c r="B63" s="130">
        <v>3.55</v>
      </c>
      <c r="C63" s="130">
        <v>3.45</v>
      </c>
    </row>
    <row r="64" spans="1:3" ht="12">
      <c r="A64" s="5"/>
      <c r="B64" s="131"/>
      <c r="C64" s="131"/>
    </row>
    <row r="65" spans="1:3" ht="12">
      <c r="A65" s="6" t="s">
        <v>24</v>
      </c>
      <c r="B65" s="131"/>
      <c r="C65" s="131"/>
    </row>
    <row r="66" spans="1:4" ht="12">
      <c r="A66" s="5"/>
      <c r="B66" s="131"/>
      <c r="C66" s="131"/>
      <c r="D66" s="8"/>
    </row>
    <row r="67" spans="1:4" ht="12">
      <c r="A67" s="5" t="s">
        <v>15</v>
      </c>
      <c r="B67" s="286">
        <v>0.35</v>
      </c>
      <c r="C67" s="286">
        <v>4.524</v>
      </c>
      <c r="D67" s="8"/>
    </row>
    <row r="68" spans="1:4" ht="12">
      <c r="A68" s="5" t="s">
        <v>16</v>
      </c>
      <c r="B68" s="286">
        <v>4.04</v>
      </c>
      <c r="C68" s="286">
        <v>35.089</v>
      </c>
      <c r="D68" s="9"/>
    </row>
    <row r="69" spans="1:4" ht="12">
      <c r="A69" s="5" t="s">
        <v>17</v>
      </c>
      <c r="B69" s="286">
        <v>159.13</v>
      </c>
      <c r="C69" s="286">
        <v>158.45</v>
      </c>
      <c r="D69" s="9"/>
    </row>
    <row r="70" spans="1:4" ht="12">
      <c r="A70" s="5" t="s">
        <v>18</v>
      </c>
      <c r="B70" s="286">
        <v>7.27</v>
      </c>
      <c r="C70" s="286">
        <v>7.234</v>
      </c>
      <c r="D70" s="9"/>
    </row>
    <row r="71" spans="1:4" ht="12">
      <c r="A71" s="5" t="s">
        <v>19</v>
      </c>
      <c r="B71" s="286">
        <v>0</v>
      </c>
      <c r="C71" s="286">
        <v>0</v>
      </c>
      <c r="D71" s="9"/>
    </row>
    <row r="72" spans="1:4" ht="12">
      <c r="A72" s="5" t="s">
        <v>20</v>
      </c>
      <c r="B72" s="286">
        <v>4.35</v>
      </c>
      <c r="C72" s="286">
        <v>4.292</v>
      </c>
      <c r="D72" s="9"/>
    </row>
    <row r="73" spans="1:4" ht="12">
      <c r="A73" s="5" t="s">
        <v>21</v>
      </c>
      <c r="B73" s="286">
        <v>2.925</v>
      </c>
      <c r="C73" s="286">
        <v>2.94</v>
      </c>
      <c r="D73" s="193"/>
    </row>
    <row r="74" spans="1:3" ht="12">
      <c r="A74" s="5" t="s">
        <v>22</v>
      </c>
      <c r="B74" s="286">
        <v>0</v>
      </c>
      <c r="C74" s="286">
        <v>0</v>
      </c>
    </row>
    <row r="75" spans="1:3" ht="12">
      <c r="A75" s="5" t="s">
        <v>23</v>
      </c>
      <c r="B75" s="286">
        <v>0</v>
      </c>
      <c r="C75" s="286">
        <v>0</v>
      </c>
    </row>
    <row r="76" spans="1:3" ht="12">
      <c r="A76" s="5"/>
      <c r="B76" s="33"/>
      <c r="C76" s="33"/>
    </row>
    <row r="77" spans="1:3" ht="12">
      <c r="A77" s="6" t="s">
        <v>129</v>
      </c>
      <c r="B77" s="33"/>
      <c r="C77" s="33"/>
    </row>
    <row r="78" spans="1:3" ht="12">
      <c r="A78" s="5" t="s">
        <v>130</v>
      </c>
      <c r="B78" s="282">
        <v>0</v>
      </c>
      <c r="C78" s="282">
        <v>19.8</v>
      </c>
    </row>
    <row r="79" spans="1:3" ht="12">
      <c r="A79" s="5" t="s">
        <v>18</v>
      </c>
      <c r="B79" s="282">
        <v>18.49</v>
      </c>
      <c r="C79" s="282">
        <v>16.894</v>
      </c>
    </row>
    <row r="80" spans="1:3" ht="12.75" thickBot="1">
      <c r="A80" s="5"/>
      <c r="B80" s="33"/>
      <c r="C80" s="33"/>
    </row>
    <row r="81" spans="1:3" ht="12.75" thickBot="1">
      <c r="A81" s="3" t="s">
        <v>78</v>
      </c>
      <c r="B81" s="47">
        <f>B51</f>
        <v>40299</v>
      </c>
      <c r="C81" s="47">
        <f>C51</f>
        <v>40330</v>
      </c>
    </row>
    <row r="82" spans="1:3" ht="12">
      <c r="A82" s="5"/>
      <c r="B82" s="66"/>
      <c r="C82" s="66"/>
    </row>
    <row r="83" spans="1:3" ht="12">
      <c r="A83" s="5" t="s">
        <v>25</v>
      </c>
      <c r="B83" s="64">
        <v>4.7</v>
      </c>
      <c r="C83" s="64">
        <v>4.3</v>
      </c>
    </row>
    <row r="84" spans="1:3" ht="12">
      <c r="A84" s="5" t="s">
        <v>26</v>
      </c>
      <c r="B84" s="284">
        <v>2.1</v>
      </c>
      <c r="C84" s="284">
        <v>2.1</v>
      </c>
    </row>
    <row r="85" spans="1:3" ht="12.75" thickBot="1">
      <c r="A85" s="11" t="s">
        <v>27</v>
      </c>
      <c r="B85" s="285">
        <v>0.2</v>
      </c>
      <c r="C85" s="285">
        <v>0.1</v>
      </c>
    </row>
    <row r="86" ht="12">
      <c r="A86" s="2" t="s">
        <v>105</v>
      </c>
    </row>
    <row r="87" ht="12">
      <c r="A87" s="2" t="s">
        <v>110</v>
      </c>
    </row>
    <row r="88" ht="12">
      <c r="A88" s="2" t="s">
        <v>170</v>
      </c>
    </row>
  </sheetData>
  <sheetProtection/>
  <printOptions horizontalCentered="1"/>
  <pageMargins left="0.5" right="0.5" top="0.61" bottom="0.74" header="0.5" footer="0.5"/>
  <pageSetup fitToHeight="1" fitToWidth="1"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2:P77"/>
  <sheetViews>
    <sheetView showGridLines="0" zoomScaleSheetLayoutView="75" workbookViewId="0" topLeftCell="A43">
      <selection activeCell="P56" sqref="P56"/>
    </sheetView>
  </sheetViews>
  <sheetFormatPr defaultColWidth="9.140625" defaultRowHeight="12"/>
  <cols>
    <col min="1" max="1" width="3.421875" style="0" customWidth="1"/>
  </cols>
  <sheetData>
    <row r="2" spans="4:14" ht="15.75">
      <c r="D2" s="307"/>
      <c r="E2" s="308"/>
      <c r="F2" s="308"/>
      <c r="G2" s="308"/>
      <c r="H2" s="308"/>
      <c r="I2" s="308"/>
      <c r="J2" s="308"/>
      <c r="K2" s="308"/>
      <c r="L2" s="308"/>
      <c r="M2" s="308"/>
      <c r="N2" s="308"/>
    </row>
    <row r="3" spans="2:12" ht="20.25"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</row>
    <row r="4" spans="1:16" ht="15.75">
      <c r="A4" s="14"/>
      <c r="B4" s="309" t="s">
        <v>164</v>
      </c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14"/>
      <c r="N4" s="14"/>
      <c r="O4" s="14"/>
      <c r="P4" s="14"/>
    </row>
    <row r="5" spans="1:16" ht="18">
      <c r="A5" s="14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14"/>
      <c r="N5" s="14"/>
      <c r="O5" s="14"/>
      <c r="P5" s="14"/>
    </row>
    <row r="6" spans="1:16" ht="15">
      <c r="A6" s="14"/>
      <c r="M6" s="14"/>
      <c r="N6" s="14"/>
      <c r="O6" s="14"/>
      <c r="P6" s="14"/>
    </row>
    <row r="7" spans="1:16" ht="15.75">
      <c r="A7" s="306"/>
      <c r="B7" s="306"/>
      <c r="C7" s="306"/>
      <c r="D7" s="306"/>
      <c r="E7" s="306"/>
      <c r="F7" s="306"/>
      <c r="G7" s="306"/>
      <c r="H7" s="306"/>
      <c r="I7" s="306"/>
      <c r="J7" s="306"/>
      <c r="K7" s="14"/>
      <c r="L7" s="14"/>
      <c r="M7" s="14"/>
      <c r="N7" s="14"/>
      <c r="O7" s="14"/>
      <c r="P7" s="14"/>
    </row>
    <row r="8" spans="1:16" ht="15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56"/>
      <c r="O8" s="14"/>
      <c r="P8" s="14"/>
    </row>
    <row r="9" spans="1:16" ht="1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1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1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1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1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1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1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1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1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15.75">
      <c r="A23" s="14"/>
      <c r="B23" s="309" t="s">
        <v>157</v>
      </c>
      <c r="C23" s="309"/>
      <c r="D23" s="309"/>
      <c r="E23" s="309"/>
      <c r="F23" s="309"/>
      <c r="G23" s="309"/>
      <c r="H23" s="309"/>
      <c r="I23" s="309"/>
      <c r="J23" s="309"/>
      <c r="K23" s="309"/>
      <c r="L23" s="309"/>
      <c r="M23" s="14"/>
      <c r="N23" s="14"/>
      <c r="O23" s="14"/>
      <c r="P23" s="14"/>
    </row>
    <row r="24" spans="1:16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15">
      <c r="A25" s="14"/>
      <c r="M25" s="14"/>
      <c r="N25" s="14"/>
      <c r="O25" s="14"/>
      <c r="P25" s="14"/>
    </row>
    <row r="26" spans="1:16" ht="15.75">
      <c r="A26" s="14"/>
      <c r="B26" s="86"/>
      <c r="C26" s="62"/>
      <c r="D26" s="56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15.75">
      <c r="A27" s="14"/>
      <c r="C27" s="62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5">
      <c r="A28" s="14"/>
      <c r="M28" s="14"/>
      <c r="N28" s="14"/>
      <c r="O28" s="14"/>
      <c r="P28" s="14"/>
    </row>
    <row r="29" spans="1:16" ht="15">
      <c r="A29" s="14"/>
      <c r="M29" s="14"/>
      <c r="N29" s="14"/>
      <c r="O29" s="14"/>
      <c r="P29" s="14"/>
    </row>
    <row r="30" spans="13:16" ht="15">
      <c r="M30" s="14"/>
      <c r="N30" s="14"/>
      <c r="O30" s="14"/>
      <c r="P30" s="14"/>
    </row>
    <row r="31" spans="1:16" ht="15">
      <c r="A31" s="14"/>
      <c r="M31" s="14"/>
      <c r="N31" s="14"/>
      <c r="O31" s="14"/>
      <c r="P31" s="14"/>
    </row>
    <row r="32" spans="1:16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15">
      <c r="A33" s="14"/>
      <c r="M33" s="14"/>
      <c r="N33" s="14"/>
      <c r="O33" s="14"/>
      <c r="P33" s="14"/>
    </row>
    <row r="34" spans="1:16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16" ht="15">
      <c r="A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1:16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:16" ht="1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1:16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6" ht="15">
      <c r="A41" s="14"/>
      <c r="N41" s="14"/>
      <c r="O41" s="14"/>
      <c r="P41" s="14"/>
    </row>
    <row r="42" ht="12.75">
      <c r="B42" s="263" t="s">
        <v>102</v>
      </c>
    </row>
    <row r="45" spans="2:12" ht="15.75">
      <c r="B45" s="306" t="s">
        <v>153</v>
      </c>
      <c r="C45" s="302"/>
      <c r="D45" s="302"/>
      <c r="E45" s="302"/>
      <c r="F45" s="302"/>
      <c r="G45" s="302"/>
      <c r="H45" s="302"/>
      <c r="I45" s="302"/>
      <c r="J45" s="302"/>
      <c r="K45" s="302"/>
      <c r="L45" s="302"/>
    </row>
    <row r="62" spans="2:12" ht="20.25">
      <c r="B62" s="199"/>
      <c r="C62" s="200"/>
      <c r="D62" s="200"/>
      <c r="E62" s="200"/>
      <c r="F62" s="200"/>
      <c r="G62" s="200"/>
      <c r="H62" s="200"/>
      <c r="I62" s="200"/>
      <c r="J62" s="200"/>
      <c r="K62" s="200"/>
      <c r="L62" s="200"/>
    </row>
    <row r="63" spans="2:12" ht="20.25">
      <c r="B63" s="199"/>
      <c r="C63" s="200"/>
      <c r="D63" s="200"/>
      <c r="E63" s="200"/>
      <c r="F63" s="200"/>
      <c r="G63" s="200"/>
      <c r="H63" s="200"/>
      <c r="I63" s="200"/>
      <c r="J63" s="200"/>
      <c r="K63" s="200"/>
      <c r="L63" s="200"/>
    </row>
    <row r="64" spans="2:12" ht="20.25">
      <c r="B64" s="199"/>
      <c r="C64" s="200"/>
      <c r="D64" s="200"/>
      <c r="E64" s="200"/>
      <c r="F64" s="200"/>
      <c r="G64" s="200"/>
      <c r="H64" s="200"/>
      <c r="I64" s="200"/>
      <c r="J64" s="200"/>
      <c r="K64" s="200"/>
      <c r="L64" s="200"/>
    </row>
    <row r="67" ht="12.75">
      <c r="B67" s="263" t="s">
        <v>103</v>
      </c>
    </row>
    <row r="77" ht="11.25">
      <c r="B77" s="195"/>
    </row>
  </sheetData>
  <sheetProtection/>
  <mergeCells count="6">
    <mergeCell ref="A7:J7"/>
    <mergeCell ref="B45:L45"/>
    <mergeCell ref="D2:N2"/>
    <mergeCell ref="B4:L4"/>
    <mergeCell ref="B3:L3"/>
    <mergeCell ref="B23:L23"/>
  </mergeCells>
  <printOptions horizontalCentered="1"/>
  <pageMargins left="0.17" right="0.6" top="0.42" bottom="0.5" header="0.44" footer="0.5"/>
  <pageSetup fitToHeight="1" fitToWidth="1" horizontalDpi="600" verticalDpi="600" orientation="portrait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2:CM22"/>
  <sheetViews>
    <sheetView showGridLines="0" zoomScale="90" zoomScaleNormal="90" zoomScaleSheetLayoutView="75" zoomScalePageLayoutView="0" workbookViewId="0" topLeftCell="A1">
      <pane xSplit="59" ySplit="4" topLeftCell="CH5" activePane="bottomRight" state="frozen"/>
      <selection pane="topLeft" activeCell="A1" sqref="A1"/>
      <selection pane="topRight" activeCell="BH1" sqref="BH1"/>
      <selection pane="bottomLeft" activeCell="A5" sqref="A5"/>
      <selection pane="bottomRight" activeCell="B2" sqref="B2:CM21"/>
    </sheetView>
  </sheetViews>
  <sheetFormatPr defaultColWidth="12.7109375" defaultRowHeight="19.5" customHeight="1"/>
  <cols>
    <col min="1" max="1" width="12.7109375" style="31" customWidth="1"/>
    <col min="2" max="2" width="46.28125" style="31" customWidth="1"/>
    <col min="3" max="73" width="12.7109375" style="31" hidden="1" customWidth="1"/>
    <col min="74" max="90" width="12.7109375" style="31" customWidth="1"/>
    <col min="91" max="91" width="14.421875" style="31" customWidth="1"/>
    <col min="92" max="16384" width="12.7109375" style="31" customWidth="1"/>
  </cols>
  <sheetData>
    <row r="2" spans="1:48" ht="19.5" customHeight="1">
      <c r="A2" s="96"/>
      <c r="B2" s="97" t="s">
        <v>119</v>
      </c>
      <c r="C2" s="98"/>
      <c r="D2" s="98"/>
      <c r="E2" s="98"/>
      <c r="F2" s="99"/>
      <c r="G2" s="100"/>
      <c r="H2" s="99"/>
      <c r="I2" s="100"/>
      <c r="J2" s="100"/>
      <c r="K2" s="99"/>
      <c r="L2" s="99"/>
      <c r="M2" s="100"/>
      <c r="N2" s="100"/>
      <c r="O2" s="101"/>
      <c r="P2" s="100"/>
      <c r="Q2" s="99"/>
      <c r="R2" s="100"/>
      <c r="S2" s="100"/>
      <c r="T2" s="102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</row>
    <row r="3" spans="1:91" ht="19.5" customHeight="1" thickBot="1">
      <c r="A3" s="96"/>
      <c r="B3" s="287"/>
      <c r="C3" s="87"/>
      <c r="D3" s="87"/>
      <c r="E3" s="87"/>
      <c r="F3" s="88"/>
      <c r="G3" s="88"/>
      <c r="H3" s="88"/>
      <c r="I3" s="89"/>
      <c r="J3" s="89"/>
      <c r="K3" s="88"/>
      <c r="L3" s="88"/>
      <c r="M3" s="89"/>
      <c r="N3" s="89"/>
      <c r="O3" s="90"/>
      <c r="P3" s="89"/>
      <c r="Q3" s="88"/>
      <c r="R3" s="89"/>
      <c r="S3" s="89"/>
      <c r="T3" s="91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311">
        <v>2008</v>
      </c>
      <c r="BK3" s="312"/>
      <c r="BL3" s="312"/>
      <c r="BM3" s="312"/>
      <c r="BN3" s="312"/>
      <c r="BO3" s="312"/>
      <c r="BP3" s="312"/>
      <c r="BQ3" s="312"/>
      <c r="BR3" s="312"/>
      <c r="BS3" s="312"/>
      <c r="BT3" s="312"/>
      <c r="BU3" s="313"/>
      <c r="BV3" s="311">
        <v>2009</v>
      </c>
      <c r="BW3" s="314"/>
      <c r="BX3" s="314"/>
      <c r="BY3" s="314"/>
      <c r="BZ3" s="314"/>
      <c r="CA3" s="314"/>
      <c r="CB3" s="314"/>
      <c r="CC3" s="314"/>
      <c r="CD3" s="314"/>
      <c r="CE3" s="314"/>
      <c r="CF3" s="314"/>
      <c r="CG3" s="315"/>
      <c r="CH3" s="311">
        <v>2010</v>
      </c>
      <c r="CI3" s="316"/>
      <c r="CJ3" s="316"/>
      <c r="CK3" s="316"/>
      <c r="CL3" s="316"/>
      <c r="CM3" s="317"/>
    </row>
    <row r="4" spans="1:91" ht="19.5" customHeight="1" thickBot="1">
      <c r="A4" s="96"/>
      <c r="B4" s="201"/>
      <c r="C4" s="202">
        <v>37655</v>
      </c>
      <c r="D4" s="202">
        <v>37681</v>
      </c>
      <c r="E4" s="202">
        <v>37712</v>
      </c>
      <c r="F4" s="202">
        <v>37742</v>
      </c>
      <c r="G4" s="202">
        <v>37773</v>
      </c>
      <c r="H4" s="202">
        <v>37803</v>
      </c>
      <c r="I4" s="202">
        <v>37834</v>
      </c>
      <c r="J4" s="202">
        <v>37865</v>
      </c>
      <c r="K4" s="202">
        <v>37895</v>
      </c>
      <c r="L4" s="202">
        <v>37926</v>
      </c>
      <c r="M4" s="202">
        <v>37956</v>
      </c>
      <c r="N4" s="202">
        <v>37987</v>
      </c>
      <c r="O4" s="203">
        <v>38018</v>
      </c>
      <c r="P4" s="202">
        <v>38047</v>
      </c>
      <c r="Q4" s="202">
        <v>38078</v>
      </c>
      <c r="R4" s="202">
        <v>38108</v>
      </c>
      <c r="S4" s="202">
        <v>38139</v>
      </c>
      <c r="T4" s="202">
        <v>38169</v>
      </c>
      <c r="U4" s="202">
        <v>38200</v>
      </c>
      <c r="V4" s="202">
        <v>38231</v>
      </c>
      <c r="W4" s="202">
        <v>38261</v>
      </c>
      <c r="X4" s="202">
        <v>38292</v>
      </c>
      <c r="Y4" s="202">
        <v>38322</v>
      </c>
      <c r="Z4" s="202">
        <v>38353</v>
      </c>
      <c r="AA4" s="202">
        <v>38384</v>
      </c>
      <c r="AB4" s="202">
        <v>38412</v>
      </c>
      <c r="AC4" s="202">
        <v>38443</v>
      </c>
      <c r="AD4" s="202">
        <v>38473</v>
      </c>
      <c r="AE4" s="202">
        <v>38504</v>
      </c>
      <c r="AF4" s="202">
        <v>38534</v>
      </c>
      <c r="AG4" s="202">
        <v>38565</v>
      </c>
      <c r="AH4" s="202">
        <v>38596</v>
      </c>
      <c r="AI4" s="202">
        <v>38626</v>
      </c>
      <c r="AJ4" s="202">
        <v>38657</v>
      </c>
      <c r="AK4" s="202">
        <v>38687</v>
      </c>
      <c r="AL4" s="202">
        <v>38718</v>
      </c>
      <c r="AM4" s="202">
        <v>38749</v>
      </c>
      <c r="AN4" s="202">
        <v>38777</v>
      </c>
      <c r="AO4" s="202">
        <v>38808</v>
      </c>
      <c r="AP4" s="202">
        <v>38838</v>
      </c>
      <c r="AQ4" s="202">
        <v>38869</v>
      </c>
      <c r="AR4" s="202">
        <v>38929</v>
      </c>
      <c r="AS4" s="202">
        <v>38960</v>
      </c>
      <c r="AT4" s="202">
        <v>38990</v>
      </c>
      <c r="AU4" s="202">
        <v>39021</v>
      </c>
      <c r="AV4" s="202">
        <v>39051</v>
      </c>
      <c r="AW4" s="202">
        <v>39082</v>
      </c>
      <c r="AX4" s="204">
        <v>39113</v>
      </c>
      <c r="AY4" s="204">
        <v>39141</v>
      </c>
      <c r="AZ4" s="204">
        <v>39172</v>
      </c>
      <c r="BA4" s="204">
        <v>39202</v>
      </c>
      <c r="BB4" s="204">
        <v>39233</v>
      </c>
      <c r="BC4" s="204">
        <v>39263</v>
      </c>
      <c r="BD4" s="204">
        <v>39294</v>
      </c>
      <c r="BE4" s="204">
        <v>39325</v>
      </c>
      <c r="BF4" s="204">
        <v>39355</v>
      </c>
      <c r="BG4" s="204">
        <v>39386</v>
      </c>
      <c r="BH4" s="204">
        <v>39416</v>
      </c>
      <c r="BI4" s="204">
        <v>39447</v>
      </c>
      <c r="BJ4" s="204" t="s">
        <v>172</v>
      </c>
      <c r="BK4" s="204" t="s">
        <v>173</v>
      </c>
      <c r="BL4" s="204" t="s">
        <v>174</v>
      </c>
      <c r="BM4" s="204" t="s">
        <v>175</v>
      </c>
      <c r="BN4" s="204" t="s">
        <v>174</v>
      </c>
      <c r="BO4" s="204" t="s">
        <v>172</v>
      </c>
      <c r="BP4" s="204" t="s">
        <v>172</v>
      </c>
      <c r="BQ4" s="204" t="s">
        <v>175</v>
      </c>
      <c r="BR4" s="204" t="s">
        <v>176</v>
      </c>
      <c r="BS4" s="204" t="s">
        <v>177</v>
      </c>
      <c r="BT4" s="204" t="s">
        <v>178</v>
      </c>
      <c r="BU4" s="204" t="s">
        <v>179</v>
      </c>
      <c r="BV4" s="204" t="s">
        <v>172</v>
      </c>
      <c r="BW4" s="204" t="s">
        <v>173</v>
      </c>
      <c r="BX4" s="204" t="s">
        <v>174</v>
      </c>
      <c r="BY4" s="204" t="s">
        <v>175</v>
      </c>
      <c r="BZ4" s="204" t="s">
        <v>174</v>
      </c>
      <c r="CA4" s="204" t="s">
        <v>172</v>
      </c>
      <c r="CB4" s="204" t="s">
        <v>172</v>
      </c>
      <c r="CC4" s="204" t="s">
        <v>175</v>
      </c>
      <c r="CD4" s="204" t="s">
        <v>176</v>
      </c>
      <c r="CE4" s="204" t="s">
        <v>177</v>
      </c>
      <c r="CF4" s="204" t="s">
        <v>178</v>
      </c>
      <c r="CG4" s="204" t="s">
        <v>179</v>
      </c>
      <c r="CH4" s="204" t="s">
        <v>172</v>
      </c>
      <c r="CI4" s="204" t="s">
        <v>173</v>
      </c>
      <c r="CJ4" s="204" t="s">
        <v>174</v>
      </c>
      <c r="CK4" s="204" t="s">
        <v>175</v>
      </c>
      <c r="CL4" s="204" t="s">
        <v>174</v>
      </c>
      <c r="CM4" s="204" t="s">
        <v>172</v>
      </c>
    </row>
    <row r="5" spans="1:91" ht="19.5" customHeight="1">
      <c r="A5" s="123"/>
      <c r="B5" s="205" t="s">
        <v>80</v>
      </c>
      <c r="C5" s="206"/>
      <c r="D5" s="206"/>
      <c r="E5" s="207"/>
      <c r="F5" s="208"/>
      <c r="G5" s="208"/>
      <c r="H5" s="208"/>
      <c r="I5" s="208"/>
      <c r="J5" s="208"/>
      <c r="K5" s="208"/>
      <c r="L5" s="208"/>
      <c r="M5" s="209"/>
      <c r="N5" s="208"/>
      <c r="O5" s="210"/>
      <c r="P5" s="211"/>
      <c r="Q5" s="208"/>
      <c r="R5" s="211"/>
      <c r="S5" s="211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2"/>
      <c r="BJ5" s="212"/>
      <c r="BK5" s="212"/>
      <c r="BL5" s="212"/>
      <c r="BM5" s="212"/>
      <c r="BN5" s="212"/>
      <c r="BO5" s="212"/>
      <c r="BP5" s="212"/>
      <c r="BQ5" s="212"/>
      <c r="BR5" s="212"/>
      <c r="BS5" s="212"/>
      <c r="BT5" s="212"/>
      <c r="BU5" s="212"/>
      <c r="BV5" s="212"/>
      <c r="BW5" s="212"/>
      <c r="BX5" s="212"/>
      <c r="BY5" s="212"/>
      <c r="BZ5" s="212"/>
      <c r="CA5" s="212"/>
      <c r="CB5" s="212"/>
      <c r="CC5" s="212"/>
      <c r="CD5" s="212"/>
      <c r="CE5" s="212"/>
      <c r="CF5" s="212"/>
      <c r="CG5" s="212"/>
      <c r="CH5" s="212"/>
      <c r="CI5" s="212"/>
      <c r="CJ5" s="212"/>
      <c r="CK5" s="212"/>
      <c r="CL5" s="212"/>
      <c r="CM5" s="212"/>
    </row>
    <row r="6" spans="1:91" ht="19.5" customHeight="1">
      <c r="A6" s="96"/>
      <c r="B6" s="205"/>
      <c r="C6" s="206"/>
      <c r="D6" s="206"/>
      <c r="E6" s="207"/>
      <c r="F6" s="208"/>
      <c r="G6" s="208"/>
      <c r="H6" s="208"/>
      <c r="I6" s="208"/>
      <c r="J6" s="208"/>
      <c r="K6" s="208"/>
      <c r="L6" s="208"/>
      <c r="M6" s="209"/>
      <c r="N6" s="208"/>
      <c r="O6" s="210"/>
      <c r="P6" s="211"/>
      <c r="Q6" s="208"/>
      <c r="R6" s="211"/>
      <c r="S6" s="211"/>
      <c r="T6" s="212"/>
      <c r="U6" s="211"/>
      <c r="V6" s="211"/>
      <c r="W6" s="211"/>
      <c r="X6" s="211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8"/>
      <c r="BS6" s="208"/>
      <c r="BT6" s="208"/>
      <c r="BU6" s="208"/>
      <c r="BV6" s="208"/>
      <c r="BW6" s="208"/>
      <c r="BX6" s="208"/>
      <c r="BY6" s="208"/>
      <c r="BZ6" s="208"/>
      <c r="CA6" s="208"/>
      <c r="CB6" s="208"/>
      <c r="CC6" s="208"/>
      <c r="CD6" s="208"/>
      <c r="CE6" s="208"/>
      <c r="CF6" s="208"/>
      <c r="CG6" s="208"/>
      <c r="CH6" s="208"/>
      <c r="CI6" s="208"/>
      <c r="CJ6" s="208"/>
      <c r="CK6" s="208"/>
      <c r="CL6" s="208"/>
      <c r="CM6" s="208"/>
    </row>
    <row r="7" spans="2:91" ht="19.5" customHeight="1">
      <c r="B7" s="205" t="s">
        <v>107</v>
      </c>
      <c r="C7" s="213">
        <v>2595.44027685</v>
      </c>
      <c r="D7" s="213">
        <v>2187.8368766900003</v>
      </c>
      <c r="E7" s="213">
        <v>2272.4872471500003</v>
      </c>
      <c r="F7" s="214">
        <v>2113.36340838</v>
      </c>
      <c r="G7" s="214">
        <v>2165.8</v>
      </c>
      <c r="H7" s="215">
        <v>2129.6</v>
      </c>
      <c r="I7" s="208">
        <v>1891</v>
      </c>
      <c r="J7" s="214">
        <v>2181.2</v>
      </c>
      <c r="K7" s="214">
        <v>2467.9</v>
      </c>
      <c r="L7" s="214">
        <v>2091</v>
      </c>
      <c r="M7" s="216">
        <v>2110.3</v>
      </c>
      <c r="N7" s="214">
        <v>2710.8702829799995</v>
      </c>
      <c r="O7" s="217">
        <v>1935.4129830699999</v>
      </c>
      <c r="P7" s="218">
        <v>1824.1042653499997</v>
      </c>
      <c r="Q7" s="208">
        <v>2395.6</v>
      </c>
      <c r="R7" s="208">
        <v>1860.4</v>
      </c>
      <c r="S7" s="208">
        <v>1783.2</v>
      </c>
      <c r="T7" s="208">
        <v>1984.6</v>
      </c>
      <c r="U7" s="208">
        <v>1989.9</v>
      </c>
      <c r="V7" s="208">
        <v>1808.2</v>
      </c>
      <c r="W7" s="208">
        <v>2207.6</v>
      </c>
      <c r="X7" s="208">
        <v>1987.9</v>
      </c>
      <c r="Y7" s="208">
        <v>1977.3</v>
      </c>
      <c r="Z7" s="208">
        <v>2327.5</v>
      </c>
      <c r="AA7" s="208">
        <v>2029.5</v>
      </c>
      <c r="AB7" s="208">
        <v>1912.6</v>
      </c>
      <c r="AC7" s="208">
        <v>2303.8</v>
      </c>
      <c r="AD7" s="208">
        <v>2107.1</v>
      </c>
      <c r="AE7" s="208">
        <v>1874.1</v>
      </c>
      <c r="AF7" s="208">
        <v>2354.7</v>
      </c>
      <c r="AG7" s="208">
        <v>2159.1</v>
      </c>
      <c r="AH7" s="208">
        <v>1818.2</v>
      </c>
      <c r="AI7" s="214">
        <v>2245</v>
      </c>
      <c r="AJ7" s="214">
        <v>1902.22246</v>
      </c>
      <c r="AK7" s="214">
        <v>1983.9</v>
      </c>
      <c r="AL7" s="214">
        <v>2705.5</v>
      </c>
      <c r="AM7" s="214">
        <v>2696</v>
      </c>
      <c r="AN7" s="214">
        <v>2458.1</v>
      </c>
      <c r="AO7" s="214">
        <v>3129.7</v>
      </c>
      <c r="AP7" s="214">
        <v>2973</v>
      </c>
      <c r="AQ7" s="214">
        <v>2677.9</v>
      </c>
      <c r="AR7" s="214">
        <v>3313.1</v>
      </c>
      <c r="AS7" s="214">
        <v>2760.7</v>
      </c>
      <c r="AT7" s="214">
        <v>3119.2</v>
      </c>
      <c r="AU7" s="214">
        <v>4104.4</v>
      </c>
      <c r="AV7" s="214">
        <v>3495.2</v>
      </c>
      <c r="AW7" s="214">
        <v>3164.3</v>
      </c>
      <c r="AX7" s="214">
        <v>4865.6</v>
      </c>
      <c r="AY7" s="214">
        <v>4466.4</v>
      </c>
      <c r="AZ7" s="214">
        <v>5690</v>
      </c>
      <c r="BA7" s="214">
        <v>6260.1</v>
      </c>
      <c r="BB7" s="219">
        <v>5643.8</v>
      </c>
      <c r="BC7" s="220">
        <v>6085.3</v>
      </c>
      <c r="BD7" s="220">
        <v>7455.9</v>
      </c>
      <c r="BE7" s="220">
        <v>6359</v>
      </c>
      <c r="BF7" s="220">
        <v>5868.650081049999</v>
      </c>
      <c r="BG7" s="220">
        <v>6499.853570999999</v>
      </c>
      <c r="BH7" s="220">
        <v>6257.02633294</v>
      </c>
      <c r="BI7" s="220">
        <v>6743.949222620002</v>
      </c>
      <c r="BJ7" s="220">
        <v>8497.90853458</v>
      </c>
      <c r="BK7" s="220">
        <v>8656.654479950002</v>
      </c>
      <c r="BL7" s="220">
        <v>8900.78</v>
      </c>
      <c r="BM7" s="220">
        <v>9949.63092274</v>
      </c>
      <c r="BN7" s="220">
        <v>9441.90025126</v>
      </c>
      <c r="BO7" s="220">
        <v>9697.814715469998</v>
      </c>
      <c r="BP7" s="220">
        <v>11758.2039831</v>
      </c>
      <c r="BQ7" s="220">
        <v>10730.849802119998</v>
      </c>
      <c r="BR7" s="220">
        <v>10942.098551590001</v>
      </c>
      <c r="BS7" s="220">
        <v>13805.317071959998</v>
      </c>
      <c r="BT7" s="220">
        <v>12725.77199603</v>
      </c>
      <c r="BU7" s="221">
        <v>12857.52677013</v>
      </c>
      <c r="BV7" s="221">
        <v>14524</v>
      </c>
      <c r="BW7" s="221">
        <v>13779</v>
      </c>
      <c r="BX7" s="221">
        <v>14136.3</v>
      </c>
      <c r="BY7" s="221">
        <v>14561.206</v>
      </c>
      <c r="BZ7" s="221">
        <v>14205.63</v>
      </c>
      <c r="CA7" s="221">
        <v>13206.787</v>
      </c>
      <c r="CB7" s="221">
        <v>13706.835257</v>
      </c>
      <c r="CC7" s="221">
        <v>13840</v>
      </c>
      <c r="CD7" s="221">
        <v>14719.96</v>
      </c>
      <c r="CE7" s="221">
        <v>15827.33</v>
      </c>
      <c r="CF7" s="221">
        <v>14317.35</v>
      </c>
      <c r="CG7" s="221">
        <v>13828.2</v>
      </c>
      <c r="CH7" s="221">
        <v>14584.6</v>
      </c>
      <c r="CI7" s="221">
        <v>14462.02</v>
      </c>
      <c r="CJ7" s="221">
        <v>12874.95</v>
      </c>
      <c r="CK7" s="221">
        <v>13495.17</v>
      </c>
      <c r="CL7" s="221">
        <v>12702.6</v>
      </c>
      <c r="CM7" s="221">
        <v>12313.47345056</v>
      </c>
    </row>
    <row r="8" spans="2:91" ht="19.5" customHeight="1">
      <c r="B8" s="205" t="s">
        <v>28</v>
      </c>
      <c r="C8" s="222"/>
      <c r="D8" s="222">
        <f>D7-C7</f>
        <v>-407.60340015999964</v>
      </c>
      <c r="E8" s="222">
        <f>E7-D7</f>
        <v>84.65037045999998</v>
      </c>
      <c r="F8" s="222">
        <f>F7-E7</f>
        <v>-159.12383877000048</v>
      </c>
      <c r="G8" s="222">
        <f aca="true" t="shared" si="0" ref="G8:AG8">G7-F7</f>
        <v>52.4365916200004</v>
      </c>
      <c r="H8" s="222">
        <f t="shared" si="0"/>
        <v>-36.20000000000027</v>
      </c>
      <c r="I8" s="222">
        <f t="shared" si="0"/>
        <v>-238.5999999999999</v>
      </c>
      <c r="J8" s="222">
        <f t="shared" si="0"/>
        <v>290.1999999999998</v>
      </c>
      <c r="K8" s="222">
        <f t="shared" si="0"/>
        <v>286.7000000000003</v>
      </c>
      <c r="L8" s="222">
        <f t="shared" si="0"/>
        <v>-376.9000000000001</v>
      </c>
      <c r="M8" s="222">
        <f t="shared" si="0"/>
        <v>19.300000000000182</v>
      </c>
      <c r="N8" s="222">
        <f t="shared" si="0"/>
        <v>600.5702829799993</v>
      </c>
      <c r="O8" s="223">
        <f t="shared" si="0"/>
        <v>-775.4572999099996</v>
      </c>
      <c r="P8" s="215">
        <f t="shared" si="0"/>
        <v>-111.30871772000023</v>
      </c>
      <c r="Q8" s="215">
        <f t="shared" si="0"/>
        <v>571.4957346500003</v>
      </c>
      <c r="R8" s="215">
        <f t="shared" si="0"/>
        <v>-535.1999999999998</v>
      </c>
      <c r="S8" s="215">
        <f t="shared" si="0"/>
        <v>-77.20000000000005</v>
      </c>
      <c r="T8" s="215">
        <f t="shared" si="0"/>
        <v>201.39999999999986</v>
      </c>
      <c r="U8" s="215">
        <f t="shared" si="0"/>
        <v>5.300000000000182</v>
      </c>
      <c r="V8" s="215">
        <f t="shared" si="0"/>
        <v>-181.70000000000005</v>
      </c>
      <c r="W8" s="215">
        <f t="shared" si="0"/>
        <v>399.39999999999986</v>
      </c>
      <c r="X8" s="215">
        <f t="shared" si="0"/>
        <v>-219.69999999999982</v>
      </c>
      <c r="Y8" s="215">
        <f t="shared" si="0"/>
        <v>-10.600000000000136</v>
      </c>
      <c r="Z8" s="215">
        <f t="shared" si="0"/>
        <v>350.20000000000005</v>
      </c>
      <c r="AA8" s="215">
        <f t="shared" si="0"/>
        <v>-298</v>
      </c>
      <c r="AB8" s="215">
        <f t="shared" si="0"/>
        <v>-116.90000000000009</v>
      </c>
      <c r="AC8" s="215">
        <f t="shared" si="0"/>
        <v>391.2000000000003</v>
      </c>
      <c r="AD8" s="215">
        <f t="shared" si="0"/>
        <v>-196.70000000000027</v>
      </c>
      <c r="AE8" s="215">
        <f t="shared" si="0"/>
        <v>-233</v>
      </c>
      <c r="AF8" s="215">
        <f t="shared" si="0"/>
        <v>480.5999999999999</v>
      </c>
      <c r="AG8" s="215">
        <f t="shared" si="0"/>
        <v>-195.5999999999999</v>
      </c>
      <c r="AH8" s="215">
        <f aca="true" t="shared" si="1" ref="AH8:BO8">AH7-AG7</f>
        <v>-340.89999999999986</v>
      </c>
      <c r="AI8" s="215">
        <f t="shared" si="1"/>
        <v>426.79999999999995</v>
      </c>
      <c r="AJ8" s="215">
        <f t="shared" si="1"/>
        <v>-342.77754000000004</v>
      </c>
      <c r="AK8" s="215">
        <f t="shared" si="1"/>
        <v>81.67754000000014</v>
      </c>
      <c r="AL8" s="215">
        <f t="shared" si="1"/>
        <v>721.5999999999999</v>
      </c>
      <c r="AM8" s="215">
        <f t="shared" si="1"/>
        <v>-9.5</v>
      </c>
      <c r="AN8" s="215">
        <f t="shared" si="1"/>
        <v>-237.9000000000001</v>
      </c>
      <c r="AO8" s="215">
        <f t="shared" si="1"/>
        <v>671.5999999999999</v>
      </c>
      <c r="AP8" s="215">
        <f t="shared" si="1"/>
        <v>-156.69999999999982</v>
      </c>
      <c r="AQ8" s="215">
        <f t="shared" si="1"/>
        <v>-295.0999999999999</v>
      </c>
      <c r="AR8" s="215">
        <f t="shared" si="1"/>
        <v>635.1999999999998</v>
      </c>
      <c r="AS8" s="215">
        <f t="shared" si="1"/>
        <v>-552.4000000000001</v>
      </c>
      <c r="AT8" s="215">
        <f t="shared" si="1"/>
        <v>358.5</v>
      </c>
      <c r="AU8" s="215">
        <f t="shared" si="1"/>
        <v>985.1999999999998</v>
      </c>
      <c r="AV8" s="215">
        <f t="shared" si="1"/>
        <v>-609.1999999999998</v>
      </c>
      <c r="AW8" s="215">
        <f t="shared" si="1"/>
        <v>-330.89999999999964</v>
      </c>
      <c r="AX8" s="215">
        <f t="shared" si="1"/>
        <v>1701.3000000000002</v>
      </c>
      <c r="AY8" s="215">
        <f t="shared" si="1"/>
        <v>-399.2000000000007</v>
      </c>
      <c r="AZ8" s="215">
        <f t="shared" si="1"/>
        <v>1223.6000000000004</v>
      </c>
      <c r="BA8" s="215">
        <f t="shared" si="1"/>
        <v>570.1000000000004</v>
      </c>
      <c r="BB8" s="224">
        <f t="shared" si="1"/>
        <v>-616.3000000000002</v>
      </c>
      <c r="BC8" s="225">
        <f t="shared" si="1"/>
        <v>441.5</v>
      </c>
      <c r="BD8" s="225">
        <f t="shared" si="1"/>
        <v>1370.5999999999995</v>
      </c>
      <c r="BE8" s="225">
        <f t="shared" si="1"/>
        <v>-1096.8999999999996</v>
      </c>
      <c r="BF8" s="225">
        <f t="shared" si="1"/>
        <v>-490.34991895000076</v>
      </c>
      <c r="BG8" s="225">
        <f t="shared" si="1"/>
        <v>631.2034899499995</v>
      </c>
      <c r="BH8" s="225">
        <f t="shared" si="1"/>
        <v>-242.8272380599983</v>
      </c>
      <c r="BI8" s="225">
        <f t="shared" si="1"/>
        <v>486.9228896800014</v>
      </c>
      <c r="BJ8" s="225">
        <f t="shared" si="1"/>
        <v>1753.9593119599976</v>
      </c>
      <c r="BK8" s="225">
        <f t="shared" si="1"/>
        <v>158.74594537000303</v>
      </c>
      <c r="BL8" s="225">
        <f t="shared" si="1"/>
        <v>244.12552004999816</v>
      </c>
      <c r="BM8" s="225">
        <f t="shared" si="1"/>
        <v>1048.850922739999</v>
      </c>
      <c r="BN8" s="225">
        <f t="shared" si="1"/>
        <v>-507.7306714799997</v>
      </c>
      <c r="BO8" s="225">
        <f t="shared" si="1"/>
        <v>255.9144642099982</v>
      </c>
      <c r="BP8" s="225">
        <f aca="true" t="shared" si="2" ref="BP8:BZ8">BP7-BO7</f>
        <v>2060.389267630002</v>
      </c>
      <c r="BQ8" s="225">
        <f t="shared" si="2"/>
        <v>-1027.3541809800026</v>
      </c>
      <c r="BR8" s="225">
        <f t="shared" si="2"/>
        <v>211.24874947000353</v>
      </c>
      <c r="BS8" s="225">
        <f t="shared" si="2"/>
        <v>2863.2185203699973</v>
      </c>
      <c r="BT8" s="225">
        <f t="shared" si="2"/>
        <v>-1079.5450759299983</v>
      </c>
      <c r="BU8" s="221">
        <f t="shared" si="2"/>
        <v>131.75477409999985</v>
      </c>
      <c r="BV8" s="221">
        <f t="shared" si="2"/>
        <v>1666.47322987</v>
      </c>
      <c r="BW8" s="226">
        <f t="shared" si="2"/>
        <v>-745</v>
      </c>
      <c r="BX8" s="227">
        <f t="shared" si="2"/>
        <v>357.2999999999993</v>
      </c>
      <c r="BY8" s="227">
        <f t="shared" si="2"/>
        <v>424.90600000000086</v>
      </c>
      <c r="BZ8" s="228">
        <f t="shared" si="2"/>
        <v>-355.57600000000093</v>
      </c>
      <c r="CA8" s="228">
        <v>-998.84</v>
      </c>
      <c r="CB8" s="228">
        <f aca="true" t="shared" si="3" ref="CB8:CM8">CB7-CA7</f>
        <v>500.0482570000004</v>
      </c>
      <c r="CC8" s="228">
        <f t="shared" si="3"/>
        <v>133.16474299999936</v>
      </c>
      <c r="CD8" s="228">
        <f t="shared" si="3"/>
        <v>879.9599999999991</v>
      </c>
      <c r="CE8" s="228">
        <f t="shared" si="3"/>
        <v>1107.3700000000008</v>
      </c>
      <c r="CF8" s="228">
        <f t="shared" si="3"/>
        <v>-1509.9799999999996</v>
      </c>
      <c r="CG8" s="228">
        <f t="shared" si="3"/>
        <v>-489.14999999999964</v>
      </c>
      <c r="CH8" s="228">
        <f t="shared" si="3"/>
        <v>756.3999999999996</v>
      </c>
      <c r="CI8" s="228">
        <f t="shared" si="3"/>
        <v>-122.57999999999993</v>
      </c>
      <c r="CJ8" s="228">
        <f t="shared" si="3"/>
        <v>-1587.0699999999997</v>
      </c>
      <c r="CK8" s="228">
        <f t="shared" si="3"/>
        <v>620.2199999999993</v>
      </c>
      <c r="CL8" s="228">
        <f t="shared" si="3"/>
        <v>-792.5699999999997</v>
      </c>
      <c r="CM8" s="228">
        <f t="shared" si="3"/>
        <v>-389.1265494399995</v>
      </c>
    </row>
    <row r="9" spans="2:91" ht="19.5" customHeight="1">
      <c r="B9" s="205"/>
      <c r="C9" s="206"/>
      <c r="D9" s="206"/>
      <c r="E9" s="206"/>
      <c r="F9" s="208"/>
      <c r="G9" s="208"/>
      <c r="H9" s="208"/>
      <c r="I9" s="208"/>
      <c r="J9" s="208"/>
      <c r="K9" s="208"/>
      <c r="L9" s="208"/>
      <c r="M9" s="209"/>
      <c r="N9" s="208"/>
      <c r="O9" s="210"/>
      <c r="P9" s="211"/>
      <c r="Q9" s="208"/>
      <c r="R9" s="211"/>
      <c r="S9" s="211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30"/>
      <c r="BV9" s="230"/>
      <c r="BW9" s="221"/>
      <c r="BX9" s="221"/>
      <c r="BY9" s="221"/>
      <c r="BZ9" s="221"/>
      <c r="CA9" s="221"/>
      <c r="CB9" s="221"/>
      <c r="CC9" s="221"/>
      <c r="CD9" s="221"/>
      <c r="CE9" s="221"/>
      <c r="CF9" s="221"/>
      <c r="CG9" s="221"/>
      <c r="CH9" s="221"/>
      <c r="CI9" s="221"/>
      <c r="CJ9" s="221"/>
      <c r="CK9" s="221"/>
      <c r="CL9" s="221"/>
      <c r="CM9" s="221"/>
    </row>
    <row r="10" spans="2:91" ht="19.5" customHeight="1">
      <c r="B10" s="205" t="s">
        <v>40</v>
      </c>
      <c r="C10" s="206"/>
      <c r="D10" s="206"/>
      <c r="E10" s="206"/>
      <c r="F10" s="208"/>
      <c r="G10" s="208"/>
      <c r="H10" s="208"/>
      <c r="I10" s="208"/>
      <c r="J10" s="208"/>
      <c r="K10" s="208"/>
      <c r="L10" s="208"/>
      <c r="M10" s="209"/>
      <c r="N10" s="208"/>
      <c r="O10" s="210"/>
      <c r="P10" s="211"/>
      <c r="Q10" s="208"/>
      <c r="R10" s="211"/>
      <c r="S10" s="211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30"/>
      <c r="BV10" s="230"/>
      <c r="BW10" s="221"/>
      <c r="BX10" s="221"/>
      <c r="BY10" s="221"/>
      <c r="BZ10" s="221"/>
      <c r="CA10" s="221"/>
      <c r="CB10" s="221"/>
      <c r="CC10" s="221"/>
      <c r="CD10" s="221"/>
      <c r="CE10" s="221"/>
      <c r="CF10" s="221"/>
      <c r="CG10" s="221"/>
      <c r="CH10" s="221"/>
      <c r="CI10" s="221"/>
      <c r="CJ10" s="221"/>
      <c r="CK10" s="221"/>
      <c r="CL10" s="221"/>
      <c r="CM10" s="221"/>
    </row>
    <row r="11" spans="2:91" ht="19.5" customHeight="1">
      <c r="B11" s="205"/>
      <c r="C11" s="206"/>
      <c r="D11" s="206"/>
      <c r="E11" s="206"/>
      <c r="F11" s="208"/>
      <c r="G11" s="208"/>
      <c r="H11" s="208"/>
      <c r="I11" s="208"/>
      <c r="J11" s="208"/>
      <c r="K11" s="208"/>
      <c r="L11" s="208"/>
      <c r="M11" s="209"/>
      <c r="N11" s="208"/>
      <c r="O11" s="210"/>
      <c r="P11" s="211"/>
      <c r="Q11" s="208"/>
      <c r="R11" s="211"/>
      <c r="S11" s="211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8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30"/>
      <c r="BV11" s="230"/>
      <c r="BW11" s="221"/>
      <c r="BX11" s="221"/>
      <c r="BY11" s="221"/>
      <c r="BZ11" s="221"/>
      <c r="CA11" s="221"/>
      <c r="CB11" s="221"/>
      <c r="CC11" s="221"/>
      <c r="CD11" s="221"/>
      <c r="CE11" s="221"/>
      <c r="CF11" s="221"/>
      <c r="CG11" s="221"/>
      <c r="CH11" s="221"/>
      <c r="CI11" s="221"/>
      <c r="CJ11" s="221"/>
      <c r="CK11" s="221"/>
      <c r="CL11" s="221"/>
      <c r="CM11" s="221"/>
    </row>
    <row r="12" spans="2:91" ht="19.5" customHeight="1">
      <c r="B12" s="205" t="s">
        <v>29</v>
      </c>
      <c r="C12" s="206"/>
      <c r="D12" s="206">
        <v>8.0439</v>
      </c>
      <c r="E12" s="206">
        <v>7.7068</v>
      </c>
      <c r="F12" s="231">
        <v>7.6652</v>
      </c>
      <c r="G12" s="231">
        <v>7.9027</v>
      </c>
      <c r="H12" s="231">
        <v>7.5401</v>
      </c>
      <c r="I12" s="208">
        <v>7.3922</v>
      </c>
      <c r="J12" s="208">
        <v>7.3246</v>
      </c>
      <c r="K12" s="208">
        <v>6.9637</v>
      </c>
      <c r="L12" s="208">
        <v>6.7287</v>
      </c>
      <c r="M12" s="209">
        <v>6.5159</v>
      </c>
      <c r="N12" s="208">
        <v>6.9179</v>
      </c>
      <c r="O12" s="209">
        <v>6.7686</v>
      </c>
      <c r="P12" s="208">
        <v>6.6633</v>
      </c>
      <c r="Q12" s="208">
        <v>6.5537</v>
      </c>
      <c r="R12" s="208">
        <v>6.7821</v>
      </c>
      <c r="S12" s="208">
        <v>6.4381</v>
      </c>
      <c r="T12" s="232">
        <v>6.1287</v>
      </c>
      <c r="U12" s="208">
        <v>6.4575</v>
      </c>
      <c r="V12" s="208">
        <v>6.5469</v>
      </c>
      <c r="W12" s="208">
        <v>6.3876</v>
      </c>
      <c r="X12" s="208">
        <v>6.0558</v>
      </c>
      <c r="Y12" s="208">
        <v>5.7323</v>
      </c>
      <c r="Z12" s="208">
        <v>5.9698</v>
      </c>
      <c r="AA12" s="208">
        <v>6.0161</v>
      </c>
      <c r="AB12" s="208">
        <v>6.323</v>
      </c>
      <c r="AC12" s="208">
        <v>6.1521</v>
      </c>
      <c r="AD12" s="208">
        <v>6.3314</v>
      </c>
      <c r="AE12" s="232">
        <v>6.75</v>
      </c>
      <c r="AF12" s="232">
        <v>6.7035</v>
      </c>
      <c r="AG12" s="232">
        <v>6.465</v>
      </c>
      <c r="AH12" s="232">
        <v>6.3578</v>
      </c>
      <c r="AI12" s="232">
        <v>6.5766</v>
      </c>
      <c r="AJ12" s="232">
        <v>6.521</v>
      </c>
      <c r="AK12" s="232">
        <v>6.3591</v>
      </c>
      <c r="AL12" s="232">
        <v>6.0891</v>
      </c>
      <c r="AM12" s="232">
        <v>6.1177</v>
      </c>
      <c r="AN12" s="232">
        <v>6.2544</v>
      </c>
      <c r="AO12" s="232">
        <v>6.072</v>
      </c>
      <c r="AP12" s="232">
        <v>6.3199</v>
      </c>
      <c r="AQ12" s="232">
        <v>6.9549</v>
      </c>
      <c r="AR12" s="232">
        <v>7.0843</v>
      </c>
      <c r="AS12" s="232">
        <v>6.9553</v>
      </c>
      <c r="AT12" s="232">
        <v>7.4098</v>
      </c>
      <c r="AU12" s="232">
        <v>7.6492</v>
      </c>
      <c r="AV12" s="232">
        <v>7.2586</v>
      </c>
      <c r="AW12" s="232">
        <v>7.0406</v>
      </c>
      <c r="AX12" s="232">
        <v>7.1838</v>
      </c>
      <c r="AY12" s="232">
        <v>7.1698</v>
      </c>
      <c r="AZ12" s="232">
        <v>7.3514</v>
      </c>
      <c r="BA12" s="232">
        <v>7.1216</v>
      </c>
      <c r="BB12" s="233">
        <v>7.0187</v>
      </c>
      <c r="BC12" s="233">
        <v>7.1718</v>
      </c>
      <c r="BD12" s="233">
        <v>6.973</v>
      </c>
      <c r="BE12" s="233">
        <v>7.2334</v>
      </c>
      <c r="BF12" s="233">
        <v>7.1282</v>
      </c>
      <c r="BG12" s="233">
        <v>6.7729</v>
      </c>
      <c r="BH12" s="233">
        <v>6.701</v>
      </c>
      <c r="BI12" s="233">
        <v>6.8271</v>
      </c>
      <c r="BJ12" s="233">
        <v>6.9874</v>
      </c>
      <c r="BK12" s="233">
        <v>7.6386</v>
      </c>
      <c r="BL12" s="233">
        <v>7.9799</v>
      </c>
      <c r="BM12" s="233">
        <v>7.7933</v>
      </c>
      <c r="BN12" s="233">
        <v>7.6238</v>
      </c>
      <c r="BO12" s="233">
        <v>7.9188</v>
      </c>
      <c r="BP12" s="233">
        <v>7.6393</v>
      </c>
      <c r="BQ12" s="233">
        <v>7.6578</v>
      </c>
      <c r="BR12" s="233">
        <v>8.0472</v>
      </c>
      <c r="BS12" s="233">
        <v>9.6715</v>
      </c>
      <c r="BT12" s="233">
        <v>10.1177</v>
      </c>
      <c r="BU12" s="234">
        <v>9.9456</v>
      </c>
      <c r="BV12" s="234">
        <v>9.897</v>
      </c>
      <c r="BW12" s="235">
        <v>10.0062</v>
      </c>
      <c r="BX12" s="235">
        <v>9.9932</v>
      </c>
      <c r="BY12" s="235">
        <v>9.018</v>
      </c>
      <c r="BZ12" s="235">
        <v>8.3723</v>
      </c>
      <c r="CA12" s="235">
        <v>8.0518</v>
      </c>
      <c r="CB12" s="235">
        <v>7.9513</v>
      </c>
      <c r="CC12" s="235">
        <v>7.9415</v>
      </c>
      <c r="CD12" s="235">
        <v>7.5235</v>
      </c>
      <c r="CE12" s="235">
        <v>8.5235</v>
      </c>
      <c r="CF12" s="235">
        <v>7.506138</v>
      </c>
      <c r="CG12" s="235">
        <v>7.4894</v>
      </c>
      <c r="CH12" s="235">
        <v>7.4527</v>
      </c>
      <c r="CI12" s="235">
        <v>7.7585</v>
      </c>
      <c r="CJ12" s="235">
        <v>7.4258</v>
      </c>
      <c r="CK12" s="235">
        <v>7.3434</v>
      </c>
      <c r="CL12" s="235">
        <v>7.6332</v>
      </c>
      <c r="CM12" s="235">
        <v>7.6473</v>
      </c>
    </row>
    <row r="13" spans="2:91" ht="19.5" customHeight="1">
      <c r="B13" s="205" t="s">
        <v>30</v>
      </c>
      <c r="C13" s="236"/>
      <c r="D13" s="236">
        <f>1/8.0439</f>
        <v>0.124317806039359</v>
      </c>
      <c r="E13" s="236">
        <f>1/7.7068</f>
        <v>0.12975554056158198</v>
      </c>
      <c r="F13" s="237">
        <f>1/7.6652</f>
        <v>0.13045974012419767</v>
      </c>
      <c r="G13" s="237">
        <f>1/7.9027</f>
        <v>0.12653903096410088</v>
      </c>
      <c r="H13" s="237">
        <f>1/7.5401</f>
        <v>0.1326242357528415</v>
      </c>
      <c r="I13" s="237">
        <f>1/7.3922</f>
        <v>0.13527772516977354</v>
      </c>
      <c r="J13" s="237">
        <f>1/7.3246</f>
        <v>0.1365262266881468</v>
      </c>
      <c r="K13" s="237">
        <f>1/6.9637</f>
        <v>0.14360182087108864</v>
      </c>
      <c r="L13" s="237">
        <f>1/6.7287</f>
        <v>0.14861711771961894</v>
      </c>
      <c r="M13" s="237">
        <f>1/6.5159</f>
        <v>0.15347074080326586</v>
      </c>
      <c r="N13" s="237">
        <f>1/6.9179</f>
        <v>0.14455253761979792</v>
      </c>
      <c r="O13" s="238">
        <f>1/6.7686</f>
        <v>0.14774103950595396</v>
      </c>
      <c r="P13" s="237">
        <f>1/6.6633</f>
        <v>0.1500757882730779</v>
      </c>
      <c r="Q13" s="237">
        <f>1/6.5537</f>
        <v>0.15258556235409004</v>
      </c>
      <c r="R13" s="237">
        <f>1/6.7821</f>
        <v>0.14744695595759427</v>
      </c>
      <c r="S13" s="237">
        <f>1/6.4381</f>
        <v>0.15532532890138395</v>
      </c>
      <c r="T13" s="237">
        <f>1/6.1287</f>
        <v>0.1631667400916997</v>
      </c>
      <c r="U13" s="237">
        <f>1/6.4575</f>
        <v>0.1548586914440573</v>
      </c>
      <c r="V13" s="237">
        <f>1/6.5469</f>
        <v>0.15274404680077594</v>
      </c>
      <c r="W13" s="237">
        <f>1/6.3876</f>
        <v>0.15655332206149414</v>
      </c>
      <c r="X13" s="237">
        <f>1/6.0558</f>
        <v>0.16513094884243207</v>
      </c>
      <c r="Y13" s="237">
        <f>1/5.7323</f>
        <v>0.17445004622926225</v>
      </c>
      <c r="Z13" s="237">
        <f>1/5.9698</f>
        <v>0.1675097993232604</v>
      </c>
      <c r="AA13" s="237">
        <f>1/6.0161</f>
        <v>0.16622064127923405</v>
      </c>
      <c r="AB13" s="237">
        <f>1/6.0101</f>
        <v>0.16638658258598024</v>
      </c>
      <c r="AC13" s="237">
        <f>1/6.1521</f>
        <v>0.16254612246224867</v>
      </c>
      <c r="AD13" s="237">
        <f>1/6.3314</f>
        <v>0.1579429510060966</v>
      </c>
      <c r="AE13" s="237">
        <f>1/6.75</f>
        <v>0.14814814814814814</v>
      </c>
      <c r="AF13" s="237">
        <f>1/6.7035</f>
        <v>0.14917580368464234</v>
      </c>
      <c r="AG13" s="237">
        <f>1/6.465</f>
        <v>0.15467904098994587</v>
      </c>
      <c r="AH13" s="237">
        <f>1/6.3578</f>
        <v>0.1572871118940514</v>
      </c>
      <c r="AI13" s="237">
        <f>1/6.5766</f>
        <v>0.15205425295745523</v>
      </c>
      <c r="AJ13" s="237">
        <f>1/6.521</f>
        <v>0.15335071308081583</v>
      </c>
      <c r="AK13" s="237">
        <f>1/6.3591</f>
        <v>0.157254957462534</v>
      </c>
      <c r="AL13" s="237">
        <f>1/6.0891</f>
        <v>0.1642278826099095</v>
      </c>
      <c r="AM13" s="237">
        <f>1/6.1177</f>
        <v>0.16346012390277392</v>
      </c>
      <c r="AN13" s="237">
        <f>1/6.2544</f>
        <v>0.15988743924277307</v>
      </c>
      <c r="AO13" s="237">
        <f>1/6.072</f>
        <v>0.16469038208168643</v>
      </c>
      <c r="AP13" s="237">
        <f>1/6.3199</f>
        <v>0.15823035174607195</v>
      </c>
      <c r="AQ13" s="237">
        <f>1/6.9549</f>
        <v>0.14378351953299112</v>
      </c>
      <c r="AR13" s="237">
        <f>1/7.0843</f>
        <v>0.14115720678119223</v>
      </c>
      <c r="AS13" s="237">
        <f>1/6.9553</f>
        <v>0.14377525052837403</v>
      </c>
      <c r="AT13" s="237">
        <f>1/7.4098</f>
        <v>0.1349564090798672</v>
      </c>
      <c r="AU13" s="237">
        <f>1/7.6492</f>
        <v>0.13073262563405322</v>
      </c>
      <c r="AV13" s="237">
        <f>1/7.2586</f>
        <v>0.1377676135893974</v>
      </c>
      <c r="AW13" s="237">
        <f>1/7.0406</f>
        <v>0.14203334943044627</v>
      </c>
      <c r="AX13" s="237">
        <f>1/7.1838</f>
        <v>0.13920209359948774</v>
      </c>
      <c r="AY13" s="237">
        <f>1/7.1698</f>
        <v>0.13947390443248067</v>
      </c>
      <c r="AZ13" s="237">
        <f>1/7.3514</f>
        <v>0.13602851157602633</v>
      </c>
      <c r="BA13" s="237">
        <f>1/7.1216</f>
        <v>0.14041788362165805</v>
      </c>
      <c r="BB13" s="239">
        <f>1/7.0187</f>
        <v>0.14247652699217803</v>
      </c>
      <c r="BC13" s="239">
        <f>1/7.1718</f>
        <v>0.13943500934214562</v>
      </c>
      <c r="BD13" s="239">
        <f>1/6.973</f>
        <v>0.1434102968593145</v>
      </c>
      <c r="BE13" s="239">
        <f>1/7.2334</f>
        <v>0.1382475737550806</v>
      </c>
      <c r="BF13" s="239">
        <f>1/7.1282</f>
        <v>0.14028787071069837</v>
      </c>
      <c r="BG13" s="239">
        <f>1/6.7729</f>
        <v>0.14764724121129796</v>
      </c>
      <c r="BH13" s="239">
        <f>1/6.701</f>
        <v>0.14923145799134457</v>
      </c>
      <c r="BI13" s="239">
        <f>1/6.8271</f>
        <v>0.14647507726560327</v>
      </c>
      <c r="BJ13" s="239">
        <f>1/6.9871</f>
        <v>0.1431208942193471</v>
      </c>
      <c r="BK13" s="239">
        <f>1/7.6386</f>
        <v>0.13091404184012775</v>
      </c>
      <c r="BL13" s="239">
        <f>1/7.9799</f>
        <v>0.1253148535695936</v>
      </c>
      <c r="BM13" s="239">
        <f>1/7.7933</f>
        <v>0.1283153477987502</v>
      </c>
      <c r="BN13" s="239">
        <f>1/7.6238</f>
        <v>0.13116818384532647</v>
      </c>
      <c r="BO13" s="239">
        <f>1/7.9188</f>
        <v>0.12628175986260545</v>
      </c>
      <c r="BP13" s="239">
        <f>1/7.6393</f>
        <v>0.13090204599897895</v>
      </c>
      <c r="BQ13" s="239">
        <f>1/7.6578</f>
        <v>0.1305858079343937</v>
      </c>
      <c r="BR13" s="239">
        <f>1/8.0472</f>
        <v>0.12426682572820359</v>
      </c>
      <c r="BS13" s="239">
        <f>1/9.6715</f>
        <v>0.10339657757328233</v>
      </c>
      <c r="BT13" s="239">
        <f>1/10.1177</f>
        <v>0.09883669213358769</v>
      </c>
      <c r="BU13" s="234">
        <f>1/9.9456</f>
        <v>0.10054697554697554</v>
      </c>
      <c r="BV13" s="234">
        <f>1/9.897</f>
        <v>0.1010407194099222</v>
      </c>
      <c r="BW13" s="235">
        <f>1/10.006</f>
        <v>0.09994003597841294</v>
      </c>
      <c r="BX13" s="235">
        <f>1/9.9932</f>
        <v>0.1000680462714646</v>
      </c>
      <c r="BY13" s="235">
        <f>1/9.018</f>
        <v>0.11088933244621867</v>
      </c>
      <c r="BZ13" s="235">
        <f>1/8.3723</f>
        <v>0.11944149158534693</v>
      </c>
      <c r="CA13" s="235">
        <v>0.12419583198787848</v>
      </c>
      <c r="CB13" s="235">
        <f>1/7.9513</f>
        <v>0.12576559807830168</v>
      </c>
      <c r="CC13" s="235">
        <f>1/7.9415</f>
        <v>0.12592079581942958</v>
      </c>
      <c r="CD13" s="235">
        <f>1/7.5235</f>
        <v>0.1329168605037549</v>
      </c>
      <c r="CE13" s="235">
        <f>1/7.5235</f>
        <v>0.1329168605037549</v>
      </c>
      <c r="CF13" s="235">
        <f>1/7.5235</f>
        <v>0.1329168605037549</v>
      </c>
      <c r="CG13" s="235">
        <f>1/CG12</f>
        <v>0.13352204448954522</v>
      </c>
      <c r="CH13" s="235">
        <f>1/CH12</f>
        <v>0.13417955908596885</v>
      </c>
      <c r="CI13" s="235">
        <v>0.1289</v>
      </c>
      <c r="CJ13" s="235">
        <v>0.1347</v>
      </c>
      <c r="CK13" s="235">
        <v>0.1362</v>
      </c>
      <c r="CL13" s="235">
        <v>0.13100665513808102</v>
      </c>
      <c r="CM13" s="235">
        <v>0.13076510663894444</v>
      </c>
    </row>
    <row r="14" spans="2:91" ht="19.5" customHeight="1" hidden="1">
      <c r="B14" s="205" t="s">
        <v>31</v>
      </c>
      <c r="C14" s="206"/>
      <c r="D14" s="206"/>
      <c r="E14" s="206"/>
      <c r="F14" s="231"/>
      <c r="G14" s="231"/>
      <c r="H14" s="231"/>
      <c r="I14" s="208"/>
      <c r="J14" s="208"/>
      <c r="K14" s="208"/>
      <c r="L14" s="208"/>
      <c r="M14" s="209"/>
      <c r="N14" s="208"/>
      <c r="O14" s="210"/>
      <c r="P14" s="211"/>
      <c r="Q14" s="208"/>
      <c r="R14" s="211"/>
      <c r="S14" s="211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29"/>
      <c r="BC14" s="229"/>
      <c r="BD14" s="229"/>
      <c r="BE14" s="229"/>
      <c r="BF14" s="229"/>
      <c r="BG14" s="229"/>
      <c r="BH14" s="229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229"/>
      <c r="BT14" s="229"/>
      <c r="BU14" s="234"/>
      <c r="BV14" s="234"/>
      <c r="BW14" s="235"/>
      <c r="BX14" s="235"/>
      <c r="BY14" s="235"/>
      <c r="BZ14" s="235"/>
      <c r="CA14" s="235"/>
      <c r="CB14" s="235"/>
      <c r="CC14" s="235"/>
      <c r="CD14" s="235"/>
      <c r="CE14" s="235"/>
      <c r="CF14" s="235"/>
      <c r="CG14" s="235"/>
      <c r="CH14" s="235"/>
      <c r="CI14" s="235"/>
      <c r="CJ14" s="235"/>
      <c r="CK14" s="235"/>
      <c r="CL14" s="235"/>
      <c r="CM14" s="235"/>
    </row>
    <row r="15" spans="2:91" ht="19.5" customHeight="1">
      <c r="B15" s="205" t="s">
        <v>32</v>
      </c>
      <c r="C15" s="236"/>
      <c r="D15" s="236">
        <f>1/12.7437</f>
        <v>0.07847014603294176</v>
      </c>
      <c r="E15" s="236">
        <f>1/12.124</f>
        <v>0.08248102936324644</v>
      </c>
      <c r="F15" s="237">
        <f>1/12.4393</f>
        <v>0.08039037566422548</v>
      </c>
      <c r="G15" s="237">
        <f>1/13.1219</f>
        <v>0.07620847590669035</v>
      </c>
      <c r="H15" s="237">
        <f>1/12.26</f>
        <v>0.08156606851549755</v>
      </c>
      <c r="I15" s="237">
        <f>1/11.7868</f>
        <v>0.08484066922319884</v>
      </c>
      <c r="J15" s="237">
        <f>1/11.702</f>
        <v>0.08545547769612032</v>
      </c>
      <c r="K15" s="237">
        <f>1/11.6744</f>
        <v>0.08565750702391557</v>
      </c>
      <c r="L15" s="237">
        <f>1/11.3692</f>
        <v>0.08795693628399535</v>
      </c>
      <c r="M15" s="237">
        <f>1/11.3073</f>
        <v>0.08843844242215207</v>
      </c>
      <c r="N15" s="237">
        <f>1/12.5935</f>
        <v>0.07940604279985707</v>
      </c>
      <c r="O15" s="238">
        <f>1/12.6411</f>
        <v>0.07910703973546607</v>
      </c>
      <c r="P15" s="237">
        <f>1/12.1204</f>
        <v>0.08250552787036732</v>
      </c>
      <c r="Q15" s="237">
        <f>1/11.8224</f>
        <v>0.08458519420760591</v>
      </c>
      <c r="R15" s="237">
        <f>1/12.1262</f>
        <v>0.08246606521416437</v>
      </c>
      <c r="S15" s="237">
        <f>1/11.7619</f>
        <v>0.08502027733614466</v>
      </c>
      <c r="T15" s="237">
        <f>1/11.2923</f>
        <v>0.08855591863482197</v>
      </c>
      <c r="U15" s="237">
        <f>1/11.7446</f>
        <v>0.08514551368288405</v>
      </c>
      <c r="V15" s="237">
        <f>1/11.736</f>
        <v>0.08520790729379686</v>
      </c>
      <c r="W15" s="237">
        <f>1/11.5461</f>
        <v>0.08660933128935312</v>
      </c>
      <c r="X15" s="237">
        <f>1/11.2483</f>
        <v>0.08890232301770044</v>
      </c>
      <c r="Y15" s="237">
        <f>1/11.601</f>
        <v>0.0861994655633135</v>
      </c>
      <c r="Z15" s="237">
        <f>1/11.2168</f>
        <v>0.08915198630625491</v>
      </c>
      <c r="AA15" s="237">
        <f>1/11.3535</f>
        <v>0.08807856608094419</v>
      </c>
      <c r="AB15" s="237">
        <f>1/11.8847</f>
        <v>0.08414179575420498</v>
      </c>
      <c r="AC15" s="237">
        <f>1/11.6567</f>
        <v>0.08578757281220242</v>
      </c>
      <c r="AD15" s="237">
        <f>1/11.7446</f>
        <v>0.08514551368288405</v>
      </c>
      <c r="AE15" s="237">
        <f>1/12.282</f>
        <v>0.08141996417521576</v>
      </c>
      <c r="AF15" s="237">
        <f>1/11.7407</f>
        <v>0.08517379713304998</v>
      </c>
      <c r="AG15" s="237">
        <f>1/11.5992</f>
        <v>0.0862128422649838</v>
      </c>
      <c r="AH15" s="237">
        <f>1/11.4978</f>
        <v>0.08697316008279846</v>
      </c>
      <c r="AI15" s="237">
        <f>1/11.5989</f>
        <v>0.08621507211890782</v>
      </c>
      <c r="AJ15" s="237">
        <f>1/11.2213</f>
        <v>0.08911623430440324</v>
      </c>
      <c r="AK15" s="237">
        <f>1/11.1059</f>
        <v>0.0900422298057789</v>
      </c>
      <c r="AL15" s="237">
        <f>1/10.7529</f>
        <v>0.09299816793609166</v>
      </c>
      <c r="AM15" s="237">
        <f>1/10.6948</f>
        <v>0.09350338482253057</v>
      </c>
      <c r="AN15" s="237">
        <f>1/10.907</f>
        <v>0.09168423947923351</v>
      </c>
      <c r="AO15" s="237">
        <f>1/10.7206</f>
        <v>0.09327836128574894</v>
      </c>
      <c r="AP15" s="237">
        <f>1/11.806</f>
        <v>0.08470269354565475</v>
      </c>
      <c r="AQ15" s="237">
        <f>1/12.8291</f>
        <v>0.07794779056987629</v>
      </c>
      <c r="AR15" s="237">
        <f>1/13.0643</f>
        <v>0.07654447616787735</v>
      </c>
      <c r="AS15" s="237">
        <f>1/13.1608</f>
        <v>0.07598322290438271</v>
      </c>
      <c r="AT15" s="237">
        <f>1/13.9706</f>
        <v>0.07157888709146351</v>
      </c>
      <c r="AU15" s="237">
        <f>1/14.3415</f>
        <v>0.069727713279643</v>
      </c>
      <c r="AV15" s="237">
        <f>1/13.8728</f>
        <v>0.07208350152817024</v>
      </c>
      <c r="AW15" s="237">
        <f>1/13.8362</f>
        <v>0.07227417932669375</v>
      </c>
      <c r="AX15" s="237">
        <f>1/14.0828</f>
        <v>0.07100860624307666</v>
      </c>
      <c r="AY15" s="237">
        <f>1/14.0398</f>
        <v>0.07122608584167865</v>
      </c>
      <c r="AZ15" s="237">
        <f>1/14.3044</f>
        <v>0.06990855960403793</v>
      </c>
      <c r="BA15" s="237">
        <f>1/14.1669</f>
        <v>0.07058707268350874</v>
      </c>
      <c r="BB15" s="239">
        <f>1/13.9229</f>
        <v>0.07182411710204052</v>
      </c>
      <c r="BC15" s="239">
        <f>1/14.2416</f>
        <v>0.07021682956971127</v>
      </c>
      <c r="BD15" s="239">
        <f>1/14.1833</f>
        <v>0.07050545359683572</v>
      </c>
      <c r="BE15" s="239">
        <f>1/14.525</f>
        <v>0.06884681583476764</v>
      </c>
      <c r="BF15" s="239">
        <f>1/14.3767</f>
        <v>0.06955699152100274</v>
      </c>
      <c r="BG15" s="239">
        <f>1/13.8408</f>
        <v>0.0722501589503497</v>
      </c>
      <c r="BH15" s="239">
        <f>1/13.8896</f>
        <v>0.07199631378873401</v>
      </c>
      <c r="BI15" s="239">
        <f>1/13.8016</f>
        <v>0.07245536749362393</v>
      </c>
      <c r="BJ15" s="239">
        <f>1/13.7527</f>
        <v>0.0727129945392541</v>
      </c>
      <c r="BK15" s="239">
        <f>1/15.0048</f>
        <v>0.06664534015781617</v>
      </c>
      <c r="BL15" s="239">
        <f>1/15.9805</f>
        <v>0.06257626482275273</v>
      </c>
      <c r="BM15" s="239">
        <f>1/15.4224</f>
        <v>0.06484075111526091</v>
      </c>
      <c r="BN15" s="239">
        <f>1/14.97</f>
        <v>0.0668002672010688</v>
      </c>
      <c r="BO15" s="239">
        <f>1/15.5595</f>
        <v>0.06426941739773129</v>
      </c>
      <c r="BP15" s="239">
        <f>1/15.1886</f>
        <v>0.0658388528238284</v>
      </c>
      <c r="BQ15" s="239">
        <f>1/14.4731</f>
        <v>0.06909369796380872</v>
      </c>
      <c r="BR15" s="239">
        <f>1/14.4452</f>
        <v>0.06922714811840612</v>
      </c>
      <c r="BS15" s="239">
        <f>1/16.3843</f>
        <v>0.06103403868337372</v>
      </c>
      <c r="BT15" s="239">
        <f>1/15.5129</f>
        <v>0.06446247961374083</v>
      </c>
      <c r="BU15" s="234">
        <f>1/14.8107</f>
        <v>0.06751875333373844</v>
      </c>
      <c r="BV15" s="234">
        <f>1/14.2861</f>
        <v>0.06999811005102863</v>
      </c>
      <c r="BW15" s="235">
        <f>1/14.4064</f>
        <v>0.06941359395824079</v>
      </c>
      <c r="BX15" s="235">
        <f>1/14.2015</f>
        <v>0.07041509699679611</v>
      </c>
      <c r="BY15" s="235">
        <f>1/13.2668</f>
        <v>0.07537612687309675</v>
      </c>
      <c r="BZ15" s="235">
        <f>1/12.91</f>
        <v>0.07745933384972889</v>
      </c>
      <c r="CA15" s="235">
        <v>0.07586274911430241</v>
      </c>
      <c r="CB15" s="235">
        <f>1/13.0024</f>
        <v>0.07690887836091799</v>
      </c>
      <c r="CC15" s="235">
        <f>1/13.1249</f>
        <v>0.07619105669376529</v>
      </c>
      <c r="CD15" s="235">
        <f>1/12.2854</f>
        <v>0.08139743109707458</v>
      </c>
      <c r="CE15" s="235">
        <f>1/12.2854</f>
        <v>0.08139743109707458</v>
      </c>
      <c r="CF15" s="235">
        <f>1/12.45388</f>
        <v>0.08029626108489885</v>
      </c>
      <c r="CG15" s="235">
        <f>1/12.1653</f>
        <v>0.0822010143605172</v>
      </c>
      <c r="CH15" s="235">
        <f>1/12.0599</f>
        <v>0.08291942719259694</v>
      </c>
      <c r="CI15" s="235">
        <v>0.0834</v>
      </c>
      <c r="CJ15" s="235">
        <v>0.0895</v>
      </c>
      <c r="CK15" s="235">
        <v>0.0888</v>
      </c>
      <c r="CL15" s="235">
        <v>0.0892968763952637</v>
      </c>
      <c r="CM15" s="235">
        <v>0.08870674437377474</v>
      </c>
    </row>
    <row r="16" spans="2:91" ht="19.5" customHeight="1">
      <c r="B16" s="205" t="s">
        <v>33</v>
      </c>
      <c r="C16" s="236"/>
      <c r="D16" s="236">
        <f>1/0.0679</f>
        <v>14.727540500736376</v>
      </c>
      <c r="E16" s="236">
        <f>1/0.0642</f>
        <v>15.576323987538942</v>
      </c>
      <c r="F16" s="237">
        <f>1/0.0654</f>
        <v>15.290519877675841</v>
      </c>
      <c r="G16" s="237">
        <f>1/0.0668</f>
        <v>14.970059880239521</v>
      </c>
      <c r="H16" s="237">
        <f>1/0.0636</f>
        <v>15.723270440251572</v>
      </c>
      <c r="I16" s="237">
        <f>1/0.0622</f>
        <v>16.077170418006432</v>
      </c>
      <c r="J16" s="237">
        <f>1/0.0636</f>
        <v>15.723270440251572</v>
      </c>
      <c r="K16" s="237">
        <f>1/0.0636</f>
        <v>15.723270440251572</v>
      </c>
      <c r="L16" s="237">
        <f>1/0.0616</f>
        <v>16.233766233766232</v>
      </c>
      <c r="M16" s="237">
        <f>1/0.0604</f>
        <v>16.556291390728475</v>
      </c>
      <c r="N16" s="237">
        <f>1/0.065</f>
        <v>15.384615384615383</v>
      </c>
      <c r="O16" s="238">
        <f>1/0.0695</f>
        <v>14.388489208633093</v>
      </c>
      <c r="P16" s="237">
        <f>1/0.0611</f>
        <v>16.366612111292962</v>
      </c>
      <c r="Q16" s="237">
        <f>1/0.061</f>
        <v>16.39344262295082</v>
      </c>
      <c r="R16" s="237">
        <f>1/0.0606</f>
        <v>16.5016501650165</v>
      </c>
      <c r="S16" s="237">
        <f>1/0.0588</f>
        <v>17.006802721088437</v>
      </c>
      <c r="T16" s="237">
        <f>1/0.0561</f>
        <v>17.825311942959004</v>
      </c>
      <c r="U16" s="237">
        <f>1/0.0505</f>
        <v>19.801980198019802</v>
      </c>
      <c r="V16" s="237">
        <f>1/0.0595</f>
        <v>16.80672268907563</v>
      </c>
      <c r="W16" s="237">
        <f>1/0.0587</f>
        <v>17.035775127768314</v>
      </c>
      <c r="X16" s="237">
        <f>1/0.0578</f>
        <v>17.301038062283737</v>
      </c>
      <c r="Y16" s="237">
        <f>1/0.052</f>
        <v>19.23076923076923</v>
      </c>
      <c r="Z16" s="237">
        <f>1/0.0578</f>
        <v>17.301038062283737</v>
      </c>
      <c r="AA16" s="237">
        <f>1/0.0574</f>
        <v>17.421602787456447</v>
      </c>
      <c r="AB16" s="237">
        <f>1/0.0572</f>
        <v>17.482517482517483</v>
      </c>
      <c r="AC16" s="237">
        <f>1/0.0572</f>
        <v>17.482517482517483</v>
      </c>
      <c r="AD16" s="237">
        <f>1/0.0594</f>
        <v>16.835016835016834</v>
      </c>
      <c r="AE16" s="237">
        <f>1/0.0621</f>
        <v>16.10305958132045</v>
      </c>
      <c r="AF16" s="237">
        <f>1/0.0599</f>
        <v>16.69449081803005</v>
      </c>
      <c r="AG16" s="237">
        <f>1/0.0585</f>
        <v>17.094017094017094</v>
      </c>
      <c r="AH16" s="237">
        <f>1/0.0573</f>
        <v>17.452006980802793</v>
      </c>
      <c r="AI16" s="237">
        <f>1/0.0573</f>
        <v>17.452006980802793</v>
      </c>
      <c r="AJ16" s="237">
        <f>1/0.0545</f>
        <v>18.34862385321101</v>
      </c>
      <c r="AK16" s="237">
        <f>1/0.0536</f>
        <v>18.65671641791045</v>
      </c>
      <c r="AL16" s="237">
        <f>1/0.0528</f>
        <v>18.93939393939394</v>
      </c>
      <c r="AM16" s="237">
        <f>1/0.0519</f>
        <v>19.267822736030826</v>
      </c>
      <c r="AN16" s="237">
        <f>1/0.0533</f>
        <v>18.76172607879925</v>
      </c>
      <c r="AO16" s="237">
        <f>1/0.0518</f>
        <v>19.305019305019304</v>
      </c>
      <c r="AP16" s="237">
        <f>1/0.0566</f>
        <v>17.6678445229682</v>
      </c>
      <c r="AQ16" s="237">
        <f>1/0.0607</f>
        <v>16.474464579901156</v>
      </c>
      <c r="AR16" s="237">
        <f>1/0.0613</f>
        <v>16.31321370309951</v>
      </c>
      <c r="AS16" s="237">
        <f>1/0.06</f>
        <v>16.666666666666668</v>
      </c>
      <c r="AT16" s="237">
        <f>1/0.0633</f>
        <v>15.797788309636653</v>
      </c>
      <c r="AU16" s="237">
        <f>1/0.0645</f>
        <v>15.503875968992247</v>
      </c>
      <c r="AV16" s="237">
        <f>1/0.0619</f>
        <v>16.155088852988694</v>
      </c>
      <c r="AW16" s="237">
        <f>1/0.0601</f>
        <v>16.638935108153078</v>
      </c>
      <c r="AX16" s="237">
        <f>1/0.0597</f>
        <v>16.75041876046901</v>
      </c>
      <c r="AY16" s="237">
        <f>1/0.0595</f>
        <v>16.80672268907563</v>
      </c>
      <c r="AZ16" s="237">
        <f>1/0.0627</f>
        <v>15.948963317384369</v>
      </c>
      <c r="BA16" s="237">
        <f>1/0.06</f>
        <v>16.666666666666668</v>
      </c>
      <c r="BB16" s="239">
        <f>1/0.0581</f>
        <v>17.21170395869191</v>
      </c>
      <c r="BC16" s="239">
        <f>1/0.0585</f>
        <v>17.094017094017094</v>
      </c>
      <c r="BD16" s="239">
        <f>1/0.0574</f>
        <v>17.421602787456447</v>
      </c>
      <c r="BE16" s="239">
        <f>1/0.062</f>
        <v>16.129032258064516</v>
      </c>
      <c r="BF16" s="239">
        <f>1/0.062</f>
        <v>16.129032258064516</v>
      </c>
      <c r="BG16" s="239">
        <f>1/0.0585</f>
        <v>17.094017094017094</v>
      </c>
      <c r="BH16" s="239">
        <f>1/0.0603</f>
        <v>16.58374792703151</v>
      </c>
      <c r="BI16" s="239">
        <f>1/0.0609</f>
        <v>16.420361247947454</v>
      </c>
      <c r="BJ16" s="239">
        <f>1/0.0647</f>
        <v>15.45595054095827</v>
      </c>
      <c r="BK16" s="239">
        <f>1/0.0713</f>
        <v>14.025245441795231</v>
      </c>
      <c r="BL16" s="239">
        <f>1/0.0791</f>
        <v>12.642225031605562</v>
      </c>
      <c r="BM16" s="239">
        <f>1/0.0761</f>
        <v>13.140604467805518</v>
      </c>
      <c r="BN16" s="239">
        <f>1/0.0732</f>
        <v>13.66120218579235</v>
      </c>
      <c r="BO16" s="239">
        <f>1/0.0742</f>
        <v>13.477088948787062</v>
      </c>
      <c r="BP16" s="239">
        <f>1/0.0716</f>
        <v>13.966480446927374</v>
      </c>
      <c r="BQ16" s="239">
        <f>1/0.0701</f>
        <v>14.265335235378032</v>
      </c>
      <c r="BR16" s="239">
        <f>1/0.0754</f>
        <v>13.262599469496022</v>
      </c>
      <c r="BS16" s="239">
        <f>1/0.0964</f>
        <v>10.37344398340249</v>
      </c>
      <c r="BT16" s="239">
        <f>1/0.1044</f>
        <v>9.578544061302681</v>
      </c>
      <c r="BU16" s="234">
        <f>1/0.1091</f>
        <v>9.165902841429881</v>
      </c>
      <c r="BV16" s="234">
        <f>1/0.1095</f>
        <v>9.132420091324201</v>
      </c>
      <c r="BW16" s="235">
        <f>1/0.1083</f>
        <v>9.233610341643583</v>
      </c>
      <c r="BX16" s="235">
        <f>1/0.1023</f>
        <v>9.775171065493646</v>
      </c>
      <c r="BY16" s="235">
        <f>1/0.0913</f>
        <v>10.952902519167578</v>
      </c>
      <c r="BZ16" s="235">
        <f>1/0.0866</f>
        <v>11.547344110854503</v>
      </c>
      <c r="CA16" s="235">
        <v>11.990407673860911</v>
      </c>
      <c r="CB16" s="235">
        <f>1/0.0841</f>
        <v>11.890606420927469</v>
      </c>
      <c r="CC16" s="235">
        <f>1/0.0838</f>
        <v>11.933174224343675</v>
      </c>
      <c r="CD16" s="235">
        <f>1/0.0823</f>
        <v>12.150668286755772</v>
      </c>
      <c r="CE16" s="235">
        <f>1/0.0823</f>
        <v>12.150668286755772</v>
      </c>
      <c r="CF16" s="235">
        <v>11.8811</v>
      </c>
      <c r="CG16" s="235">
        <v>11.976</v>
      </c>
      <c r="CH16" s="235">
        <v>12.2549</v>
      </c>
      <c r="CI16" s="235">
        <v>11.7786</v>
      </c>
      <c r="CJ16" s="235">
        <v>12.1951</v>
      </c>
      <c r="CK16" s="235">
        <v>12.7065</v>
      </c>
      <c r="CL16" s="235">
        <v>12.077294685990339</v>
      </c>
      <c r="CM16" s="235">
        <v>11.876484560570072</v>
      </c>
    </row>
    <row r="17" spans="2:91" ht="19.5" customHeight="1" hidden="1">
      <c r="B17" s="205" t="s">
        <v>33</v>
      </c>
      <c r="C17" s="240"/>
      <c r="D17" s="240"/>
      <c r="E17" s="240"/>
      <c r="F17" s="208"/>
      <c r="G17" s="208"/>
      <c r="H17" s="208"/>
      <c r="I17" s="208"/>
      <c r="J17" s="208"/>
      <c r="K17" s="208"/>
      <c r="L17" s="208"/>
      <c r="M17" s="208"/>
      <c r="N17" s="208"/>
      <c r="O17" s="210"/>
      <c r="P17" s="211"/>
      <c r="Q17" s="208"/>
      <c r="R17" s="211"/>
      <c r="S17" s="211"/>
      <c r="T17" s="211"/>
      <c r="U17" s="211"/>
      <c r="V17" s="211"/>
      <c r="W17" s="211"/>
      <c r="X17" s="211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8"/>
      <c r="BH17" s="208"/>
      <c r="BI17" s="208"/>
      <c r="BJ17" s="208"/>
      <c r="BK17" s="208"/>
      <c r="BL17" s="208"/>
      <c r="BM17" s="208"/>
      <c r="BN17" s="208"/>
      <c r="BO17" s="239">
        <f>1/0.0742</f>
        <v>13.477088948787062</v>
      </c>
      <c r="BP17" s="239">
        <f>1/0.0716</f>
        <v>13.966480446927374</v>
      </c>
      <c r="BQ17" s="239">
        <f>1/0.0701</f>
        <v>14.265335235378032</v>
      </c>
      <c r="BR17" s="239">
        <f>1/0.0754</f>
        <v>13.262599469496022</v>
      </c>
      <c r="BS17" s="239">
        <f>1/0.0964</f>
        <v>10.37344398340249</v>
      </c>
      <c r="BT17" s="239">
        <f>1/0.1044</f>
        <v>9.578544061302681</v>
      </c>
      <c r="BU17" s="234">
        <f>1/0.1091</f>
        <v>9.165902841429881</v>
      </c>
      <c r="BV17" s="234">
        <f>1/0.1095</f>
        <v>9.132420091324201</v>
      </c>
      <c r="BW17" s="235">
        <f>1/0.1083</f>
        <v>9.233610341643583</v>
      </c>
      <c r="BX17" s="235">
        <f>1/0.1023</f>
        <v>9.775171065493646</v>
      </c>
      <c r="BY17" s="235">
        <f>1/0.0913</f>
        <v>10.952902519167578</v>
      </c>
      <c r="BZ17" s="235">
        <f>1/0.0866</f>
        <v>11.547344110854503</v>
      </c>
      <c r="CA17" s="235">
        <v>12.9904076738609</v>
      </c>
      <c r="CB17" s="235">
        <f>1/0.0841</f>
        <v>11.890606420927469</v>
      </c>
      <c r="CC17" s="235"/>
      <c r="CD17" s="235"/>
      <c r="CE17" s="235"/>
      <c r="CF17" s="235"/>
      <c r="CG17" s="235"/>
      <c r="CH17" s="235"/>
      <c r="CI17" s="235"/>
      <c r="CJ17" s="235"/>
      <c r="CK17" s="235"/>
      <c r="CL17" s="235"/>
      <c r="CM17" s="235"/>
    </row>
    <row r="18" spans="2:91" ht="19.5" customHeight="1">
      <c r="B18" s="241" t="s">
        <v>154</v>
      </c>
      <c r="C18" s="242"/>
      <c r="D18" s="242"/>
      <c r="E18" s="243"/>
      <c r="F18" s="244"/>
      <c r="G18" s="244"/>
      <c r="H18" s="244"/>
      <c r="I18" s="245"/>
      <c r="J18" s="245"/>
      <c r="K18" s="244"/>
      <c r="L18" s="244"/>
      <c r="M18" s="246"/>
      <c r="N18" s="245"/>
      <c r="O18" s="246"/>
      <c r="P18" s="247"/>
      <c r="Q18" s="244"/>
      <c r="R18" s="247"/>
      <c r="S18" s="247"/>
      <c r="T18" s="248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7"/>
      <c r="AP18" s="247"/>
      <c r="AQ18" s="247"/>
      <c r="AR18" s="247"/>
      <c r="AS18" s="247"/>
      <c r="AT18" s="247"/>
      <c r="AU18" s="247"/>
      <c r="AV18" s="247"/>
      <c r="AW18" s="247"/>
      <c r="AX18" s="247"/>
      <c r="AY18" s="247"/>
      <c r="AZ18" s="247"/>
      <c r="BA18" s="247"/>
      <c r="BB18" s="247"/>
      <c r="BC18" s="247"/>
      <c r="BD18" s="247"/>
      <c r="BE18" s="247"/>
      <c r="BF18" s="247"/>
      <c r="BG18" s="247"/>
      <c r="BH18" s="247"/>
      <c r="BI18" s="247"/>
      <c r="BJ18" s="288"/>
      <c r="BK18" s="288"/>
      <c r="BL18" s="288"/>
      <c r="BM18" s="288"/>
      <c r="BN18" s="288"/>
      <c r="BO18" s="239"/>
      <c r="BP18" s="239">
        <f>1/12.0494</f>
        <v>0.08299168423323983</v>
      </c>
      <c r="BQ18" s="239">
        <f>1/11.4757</f>
        <v>0.08714065372918428</v>
      </c>
      <c r="BR18" s="239">
        <f>1/11.5514</f>
        <v>0.0865695932960507</v>
      </c>
      <c r="BS18" s="239">
        <f>1/12.9051</f>
        <v>0.07748874475982365</v>
      </c>
      <c r="BT18" s="239">
        <f>1/12.881</f>
        <v>0.07763372408974459</v>
      </c>
      <c r="BU18" s="234">
        <f>1/13.3723</f>
        <v>0.07478145120884216</v>
      </c>
      <c r="BV18" s="234">
        <f>1/13.13</f>
        <v>0.07616146230007616</v>
      </c>
      <c r="BW18" s="235">
        <f>1/12.8058</f>
        <v>0.07808961564291181</v>
      </c>
      <c r="BX18" s="235">
        <f>1/13.0511</f>
        <v>0.07662189393997441</v>
      </c>
      <c r="BY18" s="235">
        <f>1/11.9135</f>
        <v>0.08393838922231082</v>
      </c>
      <c r="BZ18" s="235">
        <f>1/11.4253</f>
        <v>0.08752505404672087</v>
      </c>
      <c r="CA18" s="235">
        <f>1/11.2957</f>
        <v>0.08852926334799968</v>
      </c>
      <c r="CB18" s="235">
        <f>1/11.1974</f>
        <v>0.08930644613928233</v>
      </c>
      <c r="CC18" s="235">
        <f>1/11.3256</f>
        <v>0.08829554284099739</v>
      </c>
      <c r="CD18" s="235">
        <f>1/10.9465</f>
        <v>0.09135340063033846</v>
      </c>
      <c r="CE18" s="235">
        <f>1/10.9465</f>
        <v>0.09135340063033846</v>
      </c>
      <c r="CF18" s="235">
        <f>1/11.19337</f>
        <v>0.08933859954598124</v>
      </c>
      <c r="CG18" s="235">
        <v>0.0914</v>
      </c>
      <c r="CH18" s="235">
        <v>0.0939</v>
      </c>
      <c r="CI18" s="235">
        <v>0.0953</v>
      </c>
      <c r="CJ18" s="235">
        <v>0.0992</v>
      </c>
      <c r="CK18" s="235">
        <v>0.1015</v>
      </c>
      <c r="CL18" s="235">
        <v>0.10414280060819396</v>
      </c>
      <c r="CM18" s="235">
        <v>0.10712028536844022</v>
      </c>
    </row>
    <row r="19" spans="2:91" ht="19.5" customHeight="1">
      <c r="B19" s="249" t="s">
        <v>35</v>
      </c>
      <c r="C19" s="242"/>
      <c r="D19" s="242"/>
      <c r="E19" s="250"/>
      <c r="F19" s="244"/>
      <c r="G19" s="244"/>
      <c r="H19" s="244"/>
      <c r="I19" s="247"/>
      <c r="J19" s="247"/>
      <c r="K19" s="244"/>
      <c r="L19" s="244"/>
      <c r="M19" s="251"/>
      <c r="N19" s="247"/>
      <c r="O19" s="246"/>
      <c r="P19" s="247"/>
      <c r="Q19" s="244"/>
      <c r="R19" s="247"/>
      <c r="S19" s="247"/>
      <c r="T19" s="248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7"/>
      <c r="AK19" s="247"/>
      <c r="AL19" s="247"/>
      <c r="AM19" s="247"/>
      <c r="AN19" s="247"/>
      <c r="AO19" s="247"/>
      <c r="AP19" s="247"/>
      <c r="AQ19" s="247"/>
      <c r="AR19" s="247"/>
      <c r="AS19" s="247"/>
      <c r="AT19" s="247"/>
      <c r="AU19" s="247"/>
      <c r="AV19" s="247"/>
      <c r="AW19" s="247"/>
      <c r="AX19" s="247"/>
      <c r="AY19" s="247"/>
      <c r="AZ19" s="247"/>
      <c r="BA19" s="247"/>
      <c r="BB19" s="247"/>
      <c r="BC19" s="247"/>
      <c r="BD19" s="247"/>
      <c r="BE19" s="247"/>
      <c r="BF19" s="247"/>
      <c r="BG19" s="247"/>
      <c r="BH19" s="247"/>
      <c r="BI19" s="247"/>
      <c r="BJ19" s="247"/>
      <c r="BK19" s="247"/>
      <c r="BL19" s="247"/>
      <c r="BM19" s="247"/>
      <c r="BN19" s="247"/>
      <c r="BO19" s="247"/>
      <c r="BP19" s="247"/>
      <c r="BQ19" s="247"/>
      <c r="BR19" s="247"/>
      <c r="BS19" s="247"/>
      <c r="BT19" s="247"/>
      <c r="BU19" s="252"/>
      <c r="BV19" s="252"/>
      <c r="BW19" s="252"/>
      <c r="BX19" s="252"/>
      <c r="BY19" s="252"/>
      <c r="BZ19" s="252"/>
      <c r="CA19" s="252"/>
      <c r="CB19" s="252"/>
      <c r="CC19" s="252"/>
      <c r="CD19" s="252"/>
      <c r="CE19" s="252"/>
      <c r="CF19" s="252"/>
      <c r="CG19" s="252"/>
      <c r="CH19" s="252"/>
      <c r="CI19" s="252"/>
      <c r="CJ19" s="252"/>
      <c r="CK19" s="252"/>
      <c r="CL19" s="252"/>
      <c r="CM19" s="252"/>
    </row>
    <row r="20" spans="2:91" ht="19.5" customHeight="1" thickBot="1">
      <c r="B20" s="253" t="s">
        <v>34</v>
      </c>
      <c r="C20" s="254"/>
      <c r="D20" s="254"/>
      <c r="E20" s="255"/>
      <c r="F20" s="256"/>
      <c r="G20" s="256"/>
      <c r="H20" s="256"/>
      <c r="I20" s="257"/>
      <c r="J20" s="257"/>
      <c r="K20" s="256"/>
      <c r="L20" s="256"/>
      <c r="M20" s="258"/>
      <c r="N20" s="257"/>
      <c r="O20" s="259"/>
      <c r="P20" s="257"/>
      <c r="Q20" s="256"/>
      <c r="R20" s="257"/>
      <c r="S20" s="257"/>
      <c r="T20" s="260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7"/>
      <c r="BA20" s="257"/>
      <c r="BB20" s="257"/>
      <c r="BC20" s="257"/>
      <c r="BD20" s="257"/>
      <c r="BE20" s="257"/>
      <c r="BF20" s="257"/>
      <c r="BG20" s="257"/>
      <c r="BH20" s="257"/>
      <c r="BI20" s="257"/>
      <c r="BJ20" s="257"/>
      <c r="BK20" s="257"/>
      <c r="BL20" s="257"/>
      <c r="BM20" s="257"/>
      <c r="BN20" s="257"/>
      <c r="BO20" s="257"/>
      <c r="BP20" s="257"/>
      <c r="BQ20" s="257"/>
      <c r="BR20" s="257"/>
      <c r="BS20" s="257"/>
      <c r="BT20" s="257"/>
      <c r="BU20" s="257"/>
      <c r="BV20" s="257"/>
      <c r="BW20" s="257"/>
      <c r="BX20" s="257"/>
      <c r="BY20" s="257"/>
      <c r="BZ20" s="257"/>
      <c r="CA20" s="257"/>
      <c r="CB20" s="257"/>
      <c r="CC20" s="257"/>
      <c r="CD20" s="257"/>
      <c r="CE20" s="257"/>
      <c r="CF20" s="257"/>
      <c r="CG20" s="257"/>
      <c r="CH20" s="257"/>
      <c r="CI20" s="257"/>
      <c r="CJ20" s="257"/>
      <c r="CK20" s="257"/>
      <c r="CL20" s="257"/>
      <c r="CM20" s="257"/>
    </row>
    <row r="21" ht="19.5" customHeight="1">
      <c r="B21" s="187" t="s">
        <v>101</v>
      </c>
    </row>
    <row r="22" spans="75:79" ht="19.5" customHeight="1">
      <c r="BW22" s="192"/>
      <c r="BX22" s="192"/>
      <c r="BY22" s="192"/>
      <c r="BZ22" s="192"/>
      <c r="CA22" s="192"/>
    </row>
  </sheetData>
  <sheetProtection/>
  <mergeCells count="3">
    <mergeCell ref="BJ3:BU3"/>
    <mergeCell ref="BV3:CG3"/>
    <mergeCell ref="CH3:CM3"/>
  </mergeCells>
  <printOptions horizontalCentered="1"/>
  <pageMargins left="0.95" right="0.49" top="1" bottom="1" header="0.5" footer="0.5"/>
  <pageSetup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2:U73"/>
  <sheetViews>
    <sheetView showGridLines="0" zoomScale="99" zoomScaleNormal="99" zoomScaleSheetLayoutView="50" workbookViewId="0" topLeftCell="A37">
      <selection activeCell="N45" sqref="N45"/>
    </sheetView>
  </sheetViews>
  <sheetFormatPr defaultColWidth="9.140625" defaultRowHeight="12"/>
  <cols>
    <col min="11" max="11" width="8.7109375" style="0" customWidth="1"/>
  </cols>
  <sheetData>
    <row r="2" spans="1:15" ht="12.75">
      <c r="A2" s="318"/>
      <c r="B2" s="318"/>
      <c r="C2" s="318"/>
      <c r="D2" s="318"/>
      <c r="E2" s="318"/>
      <c r="F2" s="318"/>
      <c r="G2" s="318"/>
      <c r="H2" s="318"/>
      <c r="I2" s="318"/>
      <c r="J2" s="318"/>
      <c r="K2" s="15"/>
      <c r="L2" s="15"/>
      <c r="M2" s="15"/>
      <c r="N2" s="15"/>
      <c r="O2" s="15"/>
    </row>
    <row r="3" spans="2:15" ht="13.5" customHeight="1">
      <c r="B3" s="13"/>
      <c r="C3" s="17"/>
      <c r="D3" s="17"/>
      <c r="E3" s="17"/>
      <c r="F3" s="17"/>
      <c r="G3" s="17"/>
      <c r="H3" s="17"/>
      <c r="I3" s="16"/>
      <c r="J3" s="16"/>
      <c r="K3" s="15"/>
      <c r="L3" s="15"/>
      <c r="M3" s="15"/>
      <c r="N3" s="15"/>
      <c r="O3" s="15"/>
    </row>
    <row r="4" spans="1:15" ht="15.75">
      <c r="A4" s="306" t="s">
        <v>166</v>
      </c>
      <c r="B4" s="306"/>
      <c r="C4" s="306"/>
      <c r="D4" s="306"/>
      <c r="E4" s="306"/>
      <c r="F4" s="306"/>
      <c r="G4" s="306"/>
      <c r="H4" s="306"/>
      <c r="I4" s="306"/>
      <c r="J4" s="306"/>
      <c r="K4" s="18"/>
      <c r="L4" s="15"/>
      <c r="M4" s="15"/>
      <c r="N4" s="15"/>
      <c r="O4" s="15"/>
    </row>
    <row r="5" spans="1:15" ht="12.75">
      <c r="A5" s="19"/>
      <c r="B5" s="20"/>
      <c r="C5" s="20"/>
      <c r="D5" s="20"/>
      <c r="E5" s="20"/>
      <c r="F5" s="20"/>
      <c r="G5" s="20"/>
      <c r="H5" s="20"/>
      <c r="I5" s="20"/>
      <c r="J5" s="20"/>
      <c r="K5" s="18"/>
      <c r="L5" s="15"/>
      <c r="M5" s="15"/>
      <c r="N5" s="15"/>
      <c r="O5" s="15"/>
    </row>
    <row r="6" spans="1:15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2.75">
      <c r="A8" s="15"/>
      <c r="B8" s="15"/>
      <c r="C8" s="15"/>
      <c r="D8" s="15"/>
      <c r="E8" s="15"/>
      <c r="F8" s="15"/>
      <c r="G8" s="15"/>
      <c r="H8" s="15"/>
      <c r="I8" s="15"/>
      <c r="J8" s="16"/>
      <c r="K8" s="15"/>
      <c r="L8" s="15"/>
      <c r="M8" s="15"/>
      <c r="N8" s="15"/>
      <c r="O8" s="15"/>
    </row>
    <row r="9" spans="1:15" ht="12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ht="12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12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ht="12.7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ht="12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12.7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5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ht="15.75">
      <c r="A32" s="15"/>
      <c r="B32" s="306" t="s">
        <v>180</v>
      </c>
      <c r="C32" s="306" t="s">
        <v>162</v>
      </c>
      <c r="D32" s="306"/>
      <c r="E32" s="306"/>
      <c r="F32" s="306"/>
      <c r="G32" s="306"/>
      <c r="H32" s="306"/>
      <c r="I32" s="306"/>
      <c r="J32" s="306"/>
      <c r="K32" s="306"/>
      <c r="L32" s="15"/>
      <c r="M32" s="15"/>
      <c r="N32" s="15"/>
      <c r="O32" s="15"/>
    </row>
    <row r="33" spans="1:15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1:15" ht="12.75">
      <c r="K34" s="15"/>
      <c r="L34" s="15"/>
      <c r="M34" s="15"/>
      <c r="N34" s="15"/>
      <c r="O34" s="15"/>
    </row>
    <row r="35" spans="1:15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ht="12.75">
      <c r="A41" s="15"/>
      <c r="L41" s="15"/>
      <c r="M41" s="15"/>
      <c r="N41" s="15"/>
      <c r="O41" s="15"/>
    </row>
    <row r="42" spans="1:15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1:15" ht="12.75">
      <c r="K43" s="15"/>
      <c r="L43" s="15"/>
      <c r="M43" s="15"/>
      <c r="N43" s="15"/>
      <c r="O43" s="15"/>
    </row>
    <row r="44" spans="1:15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1:15" ht="12.75">
      <c r="K46" s="15"/>
      <c r="L46" s="15"/>
      <c r="M46" s="15"/>
      <c r="N46" s="15"/>
      <c r="O46" s="15"/>
    </row>
    <row r="47" spans="1:15" ht="12.75">
      <c r="A47" s="15"/>
      <c r="L47" s="15"/>
      <c r="M47" s="15"/>
      <c r="N47" s="15"/>
      <c r="O47" s="15"/>
    </row>
    <row r="48" spans="1:15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1:15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15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</row>
    <row r="55" spans="1:15" ht="12.75">
      <c r="A55" s="15"/>
      <c r="L55" s="15"/>
      <c r="M55" s="15"/>
      <c r="N55" s="15"/>
      <c r="O55" s="15"/>
    </row>
    <row r="56" spans="1:21" ht="20.25">
      <c r="A56" s="15"/>
      <c r="B56" s="15"/>
      <c r="C56" s="163"/>
      <c r="H56" s="15"/>
      <c r="I56" s="15"/>
      <c r="J56" s="15"/>
      <c r="K56" s="15"/>
      <c r="L56" s="15"/>
      <c r="M56" s="15"/>
      <c r="N56" s="15"/>
      <c r="O56" s="15"/>
      <c r="U56" t="s">
        <v>118</v>
      </c>
    </row>
    <row r="57" spans="1:15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</row>
    <row r="58" spans="1:15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</row>
    <row r="59" spans="1:15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</row>
    <row r="60" spans="1:15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</row>
    <row r="61" spans="11:15" ht="20.25">
      <c r="K61" s="261"/>
      <c r="L61" s="15"/>
      <c r="M61" s="15"/>
      <c r="N61" s="15"/>
      <c r="O61" s="15"/>
    </row>
    <row r="62" spans="1:15" ht="20.25">
      <c r="A62" s="15"/>
      <c r="B62" s="15"/>
      <c r="C62" s="15"/>
      <c r="D62" s="163"/>
      <c r="E62" s="163"/>
      <c r="F62" s="163"/>
      <c r="G62" s="15"/>
      <c r="H62" s="15"/>
      <c r="I62" s="15"/>
      <c r="J62" s="15"/>
      <c r="K62" s="15"/>
      <c r="L62" s="15"/>
      <c r="M62" s="15"/>
      <c r="N62" s="15"/>
      <c r="O62" s="15"/>
    </row>
    <row r="63" spans="1:15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</row>
    <row r="64" spans="1:15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</row>
    <row r="65" spans="1:15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</row>
    <row r="66" spans="1:15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</row>
    <row r="67" spans="1:15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</row>
    <row r="68" spans="1:15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</row>
    <row r="69" spans="1:15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</row>
    <row r="70" spans="1:15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1:15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</row>
    <row r="72" spans="1:15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</row>
    <row r="73" spans="1:15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</row>
  </sheetData>
  <sheetProtection/>
  <mergeCells count="3">
    <mergeCell ref="A2:J2"/>
    <mergeCell ref="A4:J4"/>
    <mergeCell ref="B32:K32"/>
  </mergeCells>
  <printOptions horizontalCentered="1" verticalCentered="1"/>
  <pageMargins left="0.77" right="0.75" top="1" bottom="1" header="0.5" footer="0.5"/>
  <pageSetup fitToHeight="1" fitToWidth="1" horizontalDpi="600" verticalDpi="600" orientation="portrait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N103"/>
  <sheetViews>
    <sheetView zoomScalePageLayoutView="0" workbookViewId="0" topLeftCell="A2">
      <selection activeCell="L100" sqref="L100"/>
    </sheetView>
  </sheetViews>
  <sheetFormatPr defaultColWidth="9.140625" defaultRowHeight="12"/>
  <cols>
    <col min="2" max="2" width="49.421875" style="0" customWidth="1"/>
    <col min="4" max="4" width="10.00390625" style="0" customWidth="1"/>
    <col min="6" max="6" width="10.00390625" style="0" customWidth="1"/>
    <col min="7" max="7" width="9.28125" style="0" customWidth="1"/>
    <col min="8" max="10" width="9.8515625" style="0" customWidth="1"/>
    <col min="11" max="11" width="8.421875" style="0" customWidth="1"/>
    <col min="12" max="12" width="9.7109375" style="0" bestFit="1" customWidth="1"/>
  </cols>
  <sheetData>
    <row r="1" ht="12" thickBot="1">
      <c r="B1" t="s">
        <v>118</v>
      </c>
    </row>
    <row r="2" spans="1:11" ht="11.25">
      <c r="A2" s="103"/>
      <c r="B2" s="321" t="s">
        <v>74</v>
      </c>
      <c r="C2" s="322"/>
      <c r="D2" s="322"/>
      <c r="E2" s="322"/>
      <c r="F2" s="322"/>
      <c r="G2" s="322"/>
      <c r="H2" s="322"/>
      <c r="I2" s="322"/>
      <c r="J2" s="322"/>
      <c r="K2" s="323"/>
    </row>
    <row r="3" spans="1:11" ht="11.25">
      <c r="A3" s="103"/>
      <c r="B3" s="324" t="s">
        <v>111</v>
      </c>
      <c r="C3" s="295"/>
      <c r="D3" s="295"/>
      <c r="E3" s="295"/>
      <c r="F3" s="295"/>
      <c r="G3" s="295"/>
      <c r="H3" s="295"/>
      <c r="I3" s="295"/>
      <c r="J3" s="295"/>
      <c r="K3" s="325"/>
    </row>
    <row r="4" spans="1:11" ht="11.25">
      <c r="A4" s="103"/>
      <c r="B4" s="105"/>
      <c r="C4" s="68"/>
      <c r="D4" s="43"/>
      <c r="E4" s="68"/>
      <c r="F4" s="298" t="s">
        <v>106</v>
      </c>
      <c r="G4" s="300"/>
      <c r="H4" s="125" t="s">
        <v>125</v>
      </c>
      <c r="I4" s="298" t="s">
        <v>126</v>
      </c>
      <c r="J4" s="319"/>
      <c r="K4" s="320"/>
    </row>
    <row r="5" spans="1:11" ht="11.25">
      <c r="A5" s="103"/>
      <c r="B5" s="106"/>
      <c r="C5" s="12">
        <v>39965</v>
      </c>
      <c r="D5" s="12">
        <v>40299</v>
      </c>
      <c r="E5" s="12">
        <v>40330</v>
      </c>
      <c r="F5" s="12" t="s">
        <v>155</v>
      </c>
      <c r="G5" s="58" t="s">
        <v>156</v>
      </c>
      <c r="H5" s="58" t="s">
        <v>168</v>
      </c>
      <c r="I5" s="12">
        <v>40269</v>
      </c>
      <c r="J5" s="12">
        <v>40299</v>
      </c>
      <c r="K5" s="12">
        <v>40330</v>
      </c>
    </row>
    <row r="6" spans="1:12" ht="11.25">
      <c r="A6" s="103"/>
      <c r="B6" s="107" t="s">
        <v>52</v>
      </c>
      <c r="C6" s="141">
        <v>13818.74152049</v>
      </c>
      <c r="D6" s="141">
        <v>13389.662201950003</v>
      </c>
      <c r="E6" s="141">
        <v>12717.364496729999</v>
      </c>
      <c r="F6" s="141">
        <v>-672.297705220004</v>
      </c>
      <c r="G6" s="141">
        <v>-1101.377023760002</v>
      </c>
      <c r="H6" s="142">
        <v>-5.021020658176828</v>
      </c>
      <c r="I6" s="142">
        <v>-6.963284200543274</v>
      </c>
      <c r="J6" s="142">
        <v>-6.455899301100587</v>
      </c>
      <c r="K6" s="171">
        <v>-7.970168789443777</v>
      </c>
      <c r="L6" s="53"/>
    </row>
    <row r="7" spans="1:12" ht="11.25">
      <c r="A7" s="103"/>
      <c r="B7" s="107" t="s">
        <v>139</v>
      </c>
      <c r="C7" s="141">
        <v>13651.53936418</v>
      </c>
      <c r="D7" s="141">
        <v>13034.768230740003</v>
      </c>
      <c r="E7" s="141">
        <v>12577.940507309999</v>
      </c>
      <c r="F7" s="141">
        <v>-456.82772343000397</v>
      </c>
      <c r="G7" s="141">
        <v>-1073.5988568700013</v>
      </c>
      <c r="H7" s="142">
        <v>-3.50468620034734</v>
      </c>
      <c r="I7" s="142">
        <v>-7.428307410513801</v>
      </c>
      <c r="J7" s="142">
        <v>-7.781930430025219</v>
      </c>
      <c r="K7" s="171">
        <v>-7.864306201885163</v>
      </c>
      <c r="L7" s="53"/>
    </row>
    <row r="8" spans="1:12" ht="11.25">
      <c r="A8" s="103"/>
      <c r="B8" s="108" t="s">
        <v>53</v>
      </c>
      <c r="C8" s="143">
        <v>13193.465556660001</v>
      </c>
      <c r="D8" s="143">
        <v>11333.987102270003</v>
      </c>
      <c r="E8" s="143">
        <v>10876.70130474</v>
      </c>
      <c r="F8" s="143">
        <v>-457.28579753000304</v>
      </c>
      <c r="G8" s="143">
        <v>-2316.7642519200017</v>
      </c>
      <c r="H8" s="144">
        <v>-4.034641943772961</v>
      </c>
      <c r="I8" s="144">
        <v>-17.81335344143272</v>
      </c>
      <c r="J8" s="144">
        <v>-18.175822912828277</v>
      </c>
      <c r="K8" s="172">
        <v>-17.559937091361945</v>
      </c>
      <c r="L8" s="53"/>
    </row>
    <row r="9" spans="1:12" ht="11.25">
      <c r="A9" s="103"/>
      <c r="B9" s="108" t="s">
        <v>54</v>
      </c>
      <c r="C9" s="143">
        <v>8E-08</v>
      </c>
      <c r="D9" s="143">
        <v>-9E-08</v>
      </c>
      <c r="E9" s="143">
        <v>1.9999999999999997E-08</v>
      </c>
      <c r="F9" s="143">
        <v>1.0999999999999999E-07</v>
      </c>
      <c r="G9" s="143">
        <v>-6.000000000000001E-08</v>
      </c>
      <c r="H9" s="144">
        <v>-122.22222222222221</v>
      </c>
      <c r="I9" s="144">
        <v>0</v>
      </c>
      <c r="J9" s="144">
        <v>12.5</v>
      </c>
      <c r="K9" s="172">
        <v>-75</v>
      </c>
      <c r="L9" s="53"/>
    </row>
    <row r="10" spans="1:12" ht="11.25">
      <c r="A10" s="103"/>
      <c r="B10" s="108" t="s">
        <v>55</v>
      </c>
      <c r="C10" s="143">
        <v>458.07380744000005</v>
      </c>
      <c r="D10" s="143">
        <v>1700.78112856</v>
      </c>
      <c r="E10" s="143">
        <v>1701.2392025500003</v>
      </c>
      <c r="F10" s="143">
        <v>0.45807399000022997</v>
      </c>
      <c r="G10" s="143">
        <v>1243.1653951100002</v>
      </c>
      <c r="H10" s="144">
        <v>0.02693315337923977</v>
      </c>
      <c r="I10" s="144">
        <v>1019.0194267788435</v>
      </c>
      <c r="J10" s="144">
        <v>500.79891334917346</v>
      </c>
      <c r="K10" s="172">
        <v>271.3897574841875</v>
      </c>
      <c r="L10" s="53"/>
    </row>
    <row r="11" spans="1:12" ht="11.25">
      <c r="A11" s="103"/>
      <c r="B11" s="107" t="s">
        <v>56</v>
      </c>
      <c r="C11" s="141">
        <v>167.20215631000002</v>
      </c>
      <c r="D11" s="141">
        <v>354.89397120999996</v>
      </c>
      <c r="E11" s="141">
        <v>139.42398942</v>
      </c>
      <c r="F11" s="141">
        <v>-215.46998178999996</v>
      </c>
      <c r="G11" s="141">
        <v>-27.778166890000023</v>
      </c>
      <c r="H11" s="142">
        <v>-60.713903100512454</v>
      </c>
      <c r="I11" s="142">
        <v>62.70911285325826</v>
      </c>
      <c r="J11" s="142">
        <v>98.24204437474803</v>
      </c>
      <c r="K11" s="171">
        <v>-16.613521920433904</v>
      </c>
      <c r="L11" s="53"/>
    </row>
    <row r="12" spans="1:12" ht="11.25">
      <c r="A12" s="103"/>
      <c r="B12" s="108" t="s">
        <v>96</v>
      </c>
      <c r="C12" s="143">
        <v>145.20760609</v>
      </c>
      <c r="D12" s="143">
        <v>332.94968386</v>
      </c>
      <c r="E12" s="143">
        <v>117.42504494999999</v>
      </c>
      <c r="F12" s="143">
        <v>-215.52463891000002</v>
      </c>
      <c r="G12" s="143">
        <v>-27.782561140000027</v>
      </c>
      <c r="H12" s="144">
        <v>-64.73189474498035</v>
      </c>
      <c r="I12" s="144">
        <v>84.10346019604074</v>
      </c>
      <c r="J12" s="144">
        <v>112.51476576988577</v>
      </c>
      <c r="K12" s="172">
        <v>-19.132993021577903</v>
      </c>
      <c r="L12" s="53"/>
    </row>
    <row r="13" spans="1:12" ht="11.25">
      <c r="A13" s="103"/>
      <c r="B13" s="108" t="s">
        <v>75</v>
      </c>
      <c r="C13" s="143">
        <v>0.03722773</v>
      </c>
      <c r="D13" s="143">
        <v>0.03722773</v>
      </c>
      <c r="E13" s="143">
        <v>0.03722773</v>
      </c>
      <c r="F13" s="143">
        <v>0</v>
      </c>
      <c r="G13" s="143">
        <v>0</v>
      </c>
      <c r="H13" s="144">
        <v>0</v>
      </c>
      <c r="I13" s="144">
        <v>-34.45306680253199</v>
      </c>
      <c r="J13" s="144">
        <v>-42.17889628539962</v>
      </c>
      <c r="K13" s="172">
        <v>-33.484956237130525</v>
      </c>
      <c r="L13" s="53"/>
    </row>
    <row r="14" spans="1:12" ht="11.25">
      <c r="A14" s="103"/>
      <c r="B14" s="108" t="s">
        <v>57</v>
      </c>
      <c r="C14" s="143">
        <v>21.957322490000003</v>
      </c>
      <c r="D14" s="143">
        <v>21.90705962</v>
      </c>
      <c r="E14" s="143">
        <v>21.961716740000004</v>
      </c>
      <c r="F14" s="143">
        <v>0.05465712000000522</v>
      </c>
      <c r="G14" s="143">
        <v>0.00439425000000071</v>
      </c>
      <c r="H14" s="144">
        <v>0.24949546378239704</v>
      </c>
      <c r="I14" s="144">
        <v>0</v>
      </c>
      <c r="J14" s="144">
        <v>0</v>
      </c>
      <c r="K14" s="172">
        <v>0</v>
      </c>
      <c r="L14" s="53"/>
    </row>
    <row r="15" spans="1:12" ht="11.25">
      <c r="A15" s="103"/>
      <c r="B15" s="109"/>
      <c r="C15" s="141"/>
      <c r="D15" s="141"/>
      <c r="E15" s="141"/>
      <c r="F15" s="141"/>
      <c r="G15" s="141"/>
      <c r="H15" s="142"/>
      <c r="I15" s="142"/>
      <c r="J15" s="142"/>
      <c r="K15" s="171"/>
      <c r="L15" s="53"/>
    </row>
    <row r="16" spans="1:12" ht="11.25">
      <c r="A16" s="103"/>
      <c r="B16" s="107" t="s">
        <v>58</v>
      </c>
      <c r="C16" s="141">
        <v>13818.740666999998</v>
      </c>
      <c r="D16" s="141">
        <v>13389.655091789993</v>
      </c>
      <c r="E16" s="141">
        <v>12717.396594940003</v>
      </c>
      <c r="F16" s="141">
        <v>-672.2584968499905</v>
      </c>
      <c r="G16" s="141">
        <v>-1101.3440720599956</v>
      </c>
      <c r="H16" s="142">
        <v>-5.020730498593596</v>
      </c>
      <c r="I16" s="142">
        <v>-6.963611944053261</v>
      </c>
      <c r="J16" s="142">
        <v>-6.456305118089556</v>
      </c>
      <c r="K16" s="171">
        <v>-7.969930825100969</v>
      </c>
      <c r="L16" s="53"/>
    </row>
    <row r="17" spans="1:12" ht="11.25">
      <c r="A17" s="103"/>
      <c r="B17" s="107" t="s">
        <v>59</v>
      </c>
      <c r="C17" s="141">
        <v>3548.5396279399974</v>
      </c>
      <c r="D17" s="141">
        <v>5534.888167049992</v>
      </c>
      <c r="E17" s="141">
        <v>4459.758766590003</v>
      </c>
      <c r="F17" s="141">
        <v>-1075.1294004599895</v>
      </c>
      <c r="G17" s="141">
        <v>911.2191386500053</v>
      </c>
      <c r="H17" s="142">
        <v>-19.424591211442966</v>
      </c>
      <c r="I17" s="144">
        <v>51.13431446730687</v>
      </c>
      <c r="J17" s="144">
        <v>62.4393617171068</v>
      </c>
      <c r="K17" s="171">
        <v>25.67870826284071</v>
      </c>
      <c r="L17" s="53"/>
    </row>
    <row r="18" spans="1:12" ht="11.25">
      <c r="A18" s="103"/>
      <c r="B18" s="108" t="s">
        <v>60</v>
      </c>
      <c r="C18" s="143">
        <v>1508.8368166500002</v>
      </c>
      <c r="D18" s="143">
        <v>1649.7580171</v>
      </c>
      <c r="E18" s="143">
        <v>1652.2980501</v>
      </c>
      <c r="F18" s="143">
        <v>2.540032999999994</v>
      </c>
      <c r="G18" s="143">
        <v>143.46123344999978</v>
      </c>
      <c r="H18" s="144">
        <v>0.1539639737265802</v>
      </c>
      <c r="I18" s="144">
        <v>2.0691362765378196</v>
      </c>
      <c r="J18" s="144">
        <v>7.205927522202793</v>
      </c>
      <c r="K18" s="172">
        <v>9.508068193121112</v>
      </c>
      <c r="L18" s="53"/>
    </row>
    <row r="19" spans="1:12" ht="11.25">
      <c r="A19" s="103"/>
      <c r="B19" s="108" t="s">
        <v>61</v>
      </c>
      <c r="C19" s="143">
        <v>2039.702811289997</v>
      </c>
      <c r="D19" s="143">
        <v>3885.1301499499923</v>
      </c>
      <c r="E19" s="143">
        <v>2807.4607164900026</v>
      </c>
      <c r="F19" s="143">
        <v>-1077.6694334599897</v>
      </c>
      <c r="G19" s="143">
        <v>767.7579052000056</v>
      </c>
      <c r="H19" s="144">
        <v>-27.73830970563138</v>
      </c>
      <c r="I19" s="144">
        <v>95.02188861228882</v>
      </c>
      <c r="J19" s="144">
        <v>107.92906771808619</v>
      </c>
      <c r="K19" s="172">
        <v>37.640674952761465</v>
      </c>
      <c r="L19" s="53"/>
    </row>
    <row r="20" spans="1:12" ht="11.25">
      <c r="A20" s="103"/>
      <c r="B20" s="107" t="s">
        <v>97</v>
      </c>
      <c r="C20" s="141">
        <v>10295.01446808</v>
      </c>
      <c r="D20" s="141">
        <v>7996.187695490002</v>
      </c>
      <c r="E20" s="141">
        <v>8449.84828816</v>
      </c>
      <c r="F20" s="141">
        <v>453.66059266999764</v>
      </c>
      <c r="G20" s="141">
        <v>-1845.166179920001</v>
      </c>
      <c r="H20" s="142">
        <v>5.673461028508256</v>
      </c>
      <c r="I20" s="142">
        <v>-22.904909787579818</v>
      </c>
      <c r="J20" s="142">
        <v>-26.871988470364172</v>
      </c>
      <c r="K20" s="171">
        <v>-17.922910022525894</v>
      </c>
      <c r="L20" s="53"/>
    </row>
    <row r="21" spans="1:12" ht="11.25">
      <c r="A21" s="103"/>
      <c r="B21" s="108" t="s">
        <v>140</v>
      </c>
      <c r="C21" s="143">
        <v>8362.85537445</v>
      </c>
      <c r="D21" s="143">
        <v>5148.070346220002</v>
      </c>
      <c r="E21" s="143">
        <v>5562.569377829999</v>
      </c>
      <c r="F21" s="143">
        <v>414.4990316099975</v>
      </c>
      <c r="G21" s="143">
        <v>-2800.2859966200012</v>
      </c>
      <c r="H21" s="144">
        <v>8.051541718235175</v>
      </c>
      <c r="I21" s="144">
        <v>-34.452926267002425</v>
      </c>
      <c r="J21" s="144">
        <v>-42.178719923407414</v>
      </c>
      <c r="K21" s="172">
        <v>-33.4848071769287</v>
      </c>
      <c r="L21" s="53"/>
    </row>
    <row r="22" spans="1:12" ht="11.25">
      <c r="A22" s="103"/>
      <c r="B22" s="110" t="s">
        <v>62</v>
      </c>
      <c r="C22" s="143">
        <v>1932.1590936300001</v>
      </c>
      <c r="D22" s="143">
        <v>2848.11734927</v>
      </c>
      <c r="E22" s="143">
        <v>2887.27891033</v>
      </c>
      <c r="F22" s="143">
        <v>39.16156106000017</v>
      </c>
      <c r="G22" s="143">
        <v>955.1198167</v>
      </c>
      <c r="H22" s="144">
        <v>1.3749981569417304</v>
      </c>
      <c r="I22" s="144">
        <v>24.137063685188576</v>
      </c>
      <c r="J22" s="144">
        <v>40.22611830463951</v>
      </c>
      <c r="K22" s="172">
        <v>49.43277289374708</v>
      </c>
      <c r="L22" s="53"/>
    </row>
    <row r="23" spans="1:12" ht="11.25">
      <c r="A23" s="103"/>
      <c r="B23" s="111" t="s">
        <v>0</v>
      </c>
      <c r="C23" s="143">
        <v>20.368129290000002</v>
      </c>
      <c r="D23" s="143">
        <v>6.266573619999999</v>
      </c>
      <c r="E23" s="143">
        <v>3.68307418</v>
      </c>
      <c r="F23" s="143">
        <v>-2.583499439999999</v>
      </c>
      <c r="G23" s="143">
        <v>-16.68505511</v>
      </c>
      <c r="H23" s="144">
        <v>-41.226667021905975</v>
      </c>
      <c r="I23" s="144">
        <v>-26.88583114021268</v>
      </c>
      <c r="J23" s="144">
        <v>-13.836893677831563</v>
      </c>
      <c r="K23" s="172">
        <v>-81.91746464508033</v>
      </c>
      <c r="L23" s="53"/>
    </row>
    <row r="24" spans="1:12" ht="11.25">
      <c r="A24" s="103"/>
      <c r="B24" s="111" t="s">
        <v>98</v>
      </c>
      <c r="C24" s="143">
        <v>109.65923691</v>
      </c>
      <c r="D24" s="143">
        <v>84.48973920000002</v>
      </c>
      <c r="E24" s="143">
        <v>38.83138389999997</v>
      </c>
      <c r="F24" s="143">
        <v>-45.658355300000046</v>
      </c>
      <c r="G24" s="143">
        <v>-70.82785301000004</v>
      </c>
      <c r="H24" s="144">
        <v>-54.04011863727003</v>
      </c>
      <c r="I24" s="144">
        <v>-27.528751231118974</v>
      </c>
      <c r="J24" s="144">
        <v>-24.163891192499708</v>
      </c>
      <c r="K24" s="172">
        <v>-64.5890442116884</v>
      </c>
      <c r="L24" s="53"/>
    </row>
    <row r="25" spans="1:12" ht="12" thickBot="1">
      <c r="A25" s="103"/>
      <c r="B25" s="112" t="s">
        <v>91</v>
      </c>
      <c r="C25" s="173">
        <v>-154.84079522000005</v>
      </c>
      <c r="D25" s="173">
        <v>-232.17708357000004</v>
      </c>
      <c r="E25" s="173">
        <v>-234.72491789000009</v>
      </c>
      <c r="F25" s="173">
        <v>-2.5478343200000495</v>
      </c>
      <c r="G25" s="173">
        <v>-79.88412267000004</v>
      </c>
      <c r="H25" s="174">
        <v>1.0973668377705728</v>
      </c>
      <c r="I25" s="174">
        <v>50.80696851643833</v>
      </c>
      <c r="J25" s="174">
        <v>58.21258595860779</v>
      </c>
      <c r="K25" s="175">
        <v>51.591134336722774</v>
      </c>
      <c r="L25" s="53"/>
    </row>
    <row r="26" spans="2:12" ht="12" customHeight="1" hidden="1">
      <c r="B26" s="57" t="s">
        <v>73</v>
      </c>
      <c r="C26" s="145">
        <v>0.0008534900025551906</v>
      </c>
      <c r="D26" s="145">
        <v>0.007110160009688116</v>
      </c>
      <c r="E26" s="145">
        <v>-0.032098210003823624</v>
      </c>
      <c r="F26" s="145">
        <v>-0.03920837001351174</v>
      </c>
      <c r="G26" s="145">
        <v>-0.032951700006378815</v>
      </c>
      <c r="H26" s="145">
        <v>-0.0002901595832316417</v>
      </c>
      <c r="I26" s="145">
        <v>0.0003277435099864334</v>
      </c>
      <c r="J26" s="145">
        <v>0.0004058169889695762</v>
      </c>
      <c r="K26" s="146">
        <v>-0.00023796434280853873</v>
      </c>
      <c r="L26" s="53">
        <f>(E26-C26)/C26*100</f>
        <v>-3860.8185107883564</v>
      </c>
    </row>
    <row r="27" spans="2:11" ht="11.25">
      <c r="B27" s="44"/>
      <c r="C27" s="45"/>
      <c r="D27" s="45"/>
      <c r="E27" s="45"/>
      <c r="F27" s="45"/>
      <c r="G27" s="45"/>
      <c r="H27" s="45"/>
      <c r="I27" s="45"/>
      <c r="J27" s="45"/>
      <c r="K27" s="46"/>
    </row>
    <row r="28" spans="2:11" ht="11.25">
      <c r="B28" s="44"/>
      <c r="C28" s="45"/>
      <c r="D28" s="45"/>
      <c r="E28" s="45"/>
      <c r="F28" s="45"/>
      <c r="G28" s="45"/>
      <c r="H28" s="45"/>
      <c r="I28" s="45"/>
      <c r="J28" s="45"/>
      <c r="K28" s="46"/>
    </row>
    <row r="29" spans="2:11" ht="12" thickBot="1">
      <c r="B29" s="44"/>
      <c r="C29" s="45"/>
      <c r="D29" s="45"/>
      <c r="E29" s="45"/>
      <c r="F29" s="45"/>
      <c r="G29" s="45"/>
      <c r="H29" s="45"/>
      <c r="I29" s="45"/>
      <c r="J29" s="45"/>
      <c r="K29" s="46"/>
    </row>
    <row r="30" spans="1:12" ht="11.25">
      <c r="A30" s="103"/>
      <c r="B30" s="321" t="s">
        <v>74</v>
      </c>
      <c r="C30" s="322"/>
      <c r="D30" s="322"/>
      <c r="E30" s="322"/>
      <c r="F30" s="322"/>
      <c r="G30" s="322"/>
      <c r="H30" s="322"/>
      <c r="I30" s="322"/>
      <c r="J30" s="322"/>
      <c r="K30" s="323"/>
      <c r="L30" s="103"/>
    </row>
    <row r="31" spans="1:12" ht="11.25">
      <c r="A31" s="103"/>
      <c r="B31" s="324" t="s">
        <v>112</v>
      </c>
      <c r="C31" s="295"/>
      <c r="D31" s="295"/>
      <c r="E31" s="295"/>
      <c r="F31" s="295"/>
      <c r="G31" s="295"/>
      <c r="H31" s="295"/>
      <c r="I31" s="295"/>
      <c r="J31" s="295"/>
      <c r="K31" s="325"/>
      <c r="L31" s="103"/>
    </row>
    <row r="32" spans="1:12" ht="11.25">
      <c r="A32" s="103"/>
      <c r="B32" s="105"/>
      <c r="C32" s="68"/>
      <c r="D32" s="43"/>
      <c r="E32" s="68"/>
      <c r="F32" s="298" t="s">
        <v>106</v>
      </c>
      <c r="G32" s="300"/>
      <c r="H32" s="125" t="s">
        <v>125</v>
      </c>
      <c r="I32" s="298" t="s">
        <v>126</v>
      </c>
      <c r="J32" s="319"/>
      <c r="K32" s="320"/>
      <c r="L32" s="103"/>
    </row>
    <row r="33" spans="1:12" ht="11.25">
      <c r="A33" s="103"/>
      <c r="B33" s="106"/>
      <c r="C33" s="12">
        <f>C5</f>
        <v>39965</v>
      </c>
      <c r="D33" s="67">
        <f>D5</f>
        <v>40299</v>
      </c>
      <c r="E33" s="12">
        <f>E5</f>
        <v>40330</v>
      </c>
      <c r="F33" s="12" t="s">
        <v>109</v>
      </c>
      <c r="G33" s="58" t="s">
        <v>108</v>
      </c>
      <c r="H33" s="58" t="s">
        <v>127</v>
      </c>
      <c r="I33" s="12">
        <f>I5</f>
        <v>40269</v>
      </c>
      <c r="J33" s="12">
        <f>J5</f>
        <v>40299</v>
      </c>
      <c r="K33" s="170">
        <f>K5</f>
        <v>40330</v>
      </c>
      <c r="L33" s="103"/>
    </row>
    <row r="34" spans="1:12" ht="11.25">
      <c r="A34" s="103"/>
      <c r="B34" s="113" t="s">
        <v>52</v>
      </c>
      <c r="C34" s="154">
        <v>47363.378076121124</v>
      </c>
      <c r="D34" s="154">
        <v>53883.069903904936</v>
      </c>
      <c r="E34" s="154">
        <v>50990.53625659279</v>
      </c>
      <c r="F34" s="154">
        <v>-2892.5336473121424</v>
      </c>
      <c r="G34" s="154">
        <v>3627.1581804716698</v>
      </c>
      <c r="H34" s="155">
        <v>-5.3681678725259845</v>
      </c>
      <c r="I34" s="155">
        <v>13.525663112116826</v>
      </c>
      <c r="J34" s="155">
        <v>15.231400314264087</v>
      </c>
      <c r="K34" s="176">
        <v>7.6649477272870525</v>
      </c>
      <c r="L34" s="103"/>
    </row>
    <row r="35" spans="1:13" ht="11.25">
      <c r="A35" s="103"/>
      <c r="B35" s="113" t="s">
        <v>139</v>
      </c>
      <c r="C35" s="154">
        <v>2465.1265956094794</v>
      </c>
      <c r="D35" s="154">
        <v>4319.7989438899995</v>
      </c>
      <c r="E35" s="154">
        <v>2320.1551559600002</v>
      </c>
      <c r="F35" s="154">
        <v>-1999.6437879299992</v>
      </c>
      <c r="G35" s="154">
        <v>-144.97143964947918</v>
      </c>
      <c r="H35" s="155">
        <v>-46.29020502813751</v>
      </c>
      <c r="I35" s="155">
        <v>28.51032292582363</v>
      </c>
      <c r="J35" s="155">
        <v>57.9294542785227</v>
      </c>
      <c r="K35" s="176">
        <v>-5.880892279839978</v>
      </c>
      <c r="L35" s="103"/>
      <c r="M35" s="194"/>
    </row>
    <row r="36" spans="1:12" ht="11.25">
      <c r="A36" s="103"/>
      <c r="B36" s="114" t="s">
        <v>63</v>
      </c>
      <c r="C36" s="156">
        <v>176.86702831190266</v>
      </c>
      <c r="D36" s="156">
        <v>176.83073336</v>
      </c>
      <c r="E36" s="156">
        <v>137.45372763</v>
      </c>
      <c r="F36" s="156">
        <v>-39.37700573000001</v>
      </c>
      <c r="G36" s="156">
        <v>-39.413300681902655</v>
      </c>
      <c r="H36" s="157">
        <v>-22.268191157605234</v>
      </c>
      <c r="I36" s="157">
        <v>-94.99422783422993</v>
      </c>
      <c r="J36" s="157">
        <v>-26.40478389515726</v>
      </c>
      <c r="K36" s="177">
        <v>-22.284142532432792</v>
      </c>
      <c r="L36" s="103"/>
    </row>
    <row r="37" spans="1:12" ht="11.25">
      <c r="A37" s="103"/>
      <c r="B37" s="114" t="s">
        <v>53</v>
      </c>
      <c r="C37" s="156">
        <v>2113.424479219506</v>
      </c>
      <c r="D37" s="156">
        <v>3912.293210529999</v>
      </c>
      <c r="E37" s="156">
        <v>1907.46342833</v>
      </c>
      <c r="F37" s="156">
        <v>-2004.8297821999993</v>
      </c>
      <c r="G37" s="156">
        <v>-205.96105088950594</v>
      </c>
      <c r="H37" s="157">
        <v>-51.24436422106523</v>
      </c>
      <c r="I37" s="157">
        <v>47.7608368781709</v>
      </c>
      <c r="J37" s="157">
        <v>79.45141935826146</v>
      </c>
      <c r="K37" s="177">
        <v>-9.745370743768799</v>
      </c>
      <c r="L37" s="103"/>
    </row>
    <row r="38" spans="1:12" ht="11.25">
      <c r="A38" s="103"/>
      <c r="B38" s="114" t="s">
        <v>64</v>
      </c>
      <c r="C38" s="156">
        <v>101.58799999999998</v>
      </c>
      <c r="D38" s="156">
        <v>108.18199999999999</v>
      </c>
      <c r="E38" s="156">
        <v>112.19899999999998</v>
      </c>
      <c r="F38" s="156">
        <v>4.016999999999996</v>
      </c>
      <c r="G38" s="156">
        <v>10.611000000000004</v>
      </c>
      <c r="H38" s="157">
        <v>3.713187036660439</v>
      </c>
      <c r="I38" s="157">
        <v>25.561996324049208</v>
      </c>
      <c r="J38" s="157">
        <v>25.13388777717371</v>
      </c>
      <c r="K38" s="177">
        <v>10.445131314722222</v>
      </c>
      <c r="L38" s="103"/>
    </row>
    <row r="39" spans="1:12" ht="11.25">
      <c r="A39" s="103"/>
      <c r="B39" s="114" t="s">
        <v>65</v>
      </c>
      <c r="C39" s="156">
        <v>73.24708807807073</v>
      </c>
      <c r="D39" s="156">
        <v>122.49300000000001</v>
      </c>
      <c r="E39" s="156">
        <v>163.03900000000002</v>
      </c>
      <c r="F39" s="156">
        <v>40.54600000000001</v>
      </c>
      <c r="G39" s="156">
        <v>89.79191192192928</v>
      </c>
      <c r="H39" s="157">
        <v>33.100666976888476</v>
      </c>
      <c r="I39" s="157">
        <v>-53.67767006718539</v>
      </c>
      <c r="J39" s="157">
        <v>-46.36976961468464</v>
      </c>
      <c r="K39" s="177">
        <v>122.58768816341777</v>
      </c>
      <c r="L39" s="103"/>
    </row>
    <row r="40" spans="1:14" ht="11.25">
      <c r="A40" s="103"/>
      <c r="B40" s="113" t="s">
        <v>56</v>
      </c>
      <c r="C40" s="154">
        <v>42399.2688845245</v>
      </c>
      <c r="D40" s="154">
        <v>46732.11017283016</v>
      </c>
      <c r="E40" s="154">
        <v>46269.81420996833</v>
      </c>
      <c r="F40" s="154">
        <v>-462.2959628618264</v>
      </c>
      <c r="G40" s="154">
        <v>3870.5453254438326</v>
      </c>
      <c r="H40" s="155">
        <v>-0.9892469249775141</v>
      </c>
      <c r="I40" s="155">
        <v>11.957711186595832</v>
      </c>
      <c r="J40" s="155">
        <v>11.364030554466908</v>
      </c>
      <c r="K40" s="176">
        <v>9.128802046057348</v>
      </c>
      <c r="L40" s="196"/>
      <c r="M40" s="196"/>
      <c r="N40" s="196"/>
    </row>
    <row r="41" spans="1:12" ht="11.25">
      <c r="A41" s="103"/>
      <c r="B41" s="114" t="s">
        <v>76</v>
      </c>
      <c r="C41" s="156">
        <v>2398.4207669685916</v>
      </c>
      <c r="D41" s="156">
        <v>3756.9722706499997</v>
      </c>
      <c r="E41" s="156">
        <v>2932.38815511</v>
      </c>
      <c r="F41" s="156">
        <v>-824.5841155399999</v>
      </c>
      <c r="G41" s="156">
        <v>533.9673881414083</v>
      </c>
      <c r="H41" s="157">
        <v>-21.94810225195879</v>
      </c>
      <c r="I41" s="157">
        <v>64.71819095331387</v>
      </c>
      <c r="J41" s="157">
        <v>69.98476134777789</v>
      </c>
      <c r="K41" s="177">
        <v>22.26329072426685</v>
      </c>
      <c r="L41" s="103"/>
    </row>
    <row r="42" spans="1:12" ht="11.25">
      <c r="A42" s="103"/>
      <c r="B42" s="114" t="s">
        <v>75</v>
      </c>
      <c r="C42" s="156">
        <v>2188.99811749</v>
      </c>
      <c r="D42" s="156">
        <v>2667.591410833701</v>
      </c>
      <c r="E42" s="156">
        <v>2283.7777246737014</v>
      </c>
      <c r="F42" s="156">
        <v>-383.81368615999963</v>
      </c>
      <c r="G42" s="156">
        <v>94.7796071837015</v>
      </c>
      <c r="H42" s="157">
        <v>-14.388023765605338</v>
      </c>
      <c r="I42" s="157">
        <v>28.79313035942632</v>
      </c>
      <c r="J42" s="157">
        <v>34.8466346319418</v>
      </c>
      <c r="K42" s="177">
        <v>4.329816751618765</v>
      </c>
      <c r="L42" s="103"/>
    </row>
    <row r="43" spans="1:12" ht="11.25">
      <c r="A43" s="103"/>
      <c r="B43" s="114" t="s">
        <v>46</v>
      </c>
      <c r="C43" s="156">
        <v>2910.350733605902</v>
      </c>
      <c r="D43" s="156">
        <v>2820.57289021</v>
      </c>
      <c r="E43" s="156">
        <v>2848.4180999800005</v>
      </c>
      <c r="F43" s="156">
        <v>27.845209770000565</v>
      </c>
      <c r="G43" s="156">
        <v>-61.93263362590142</v>
      </c>
      <c r="H43" s="157">
        <v>0.9872182302626971</v>
      </c>
      <c r="I43" s="157">
        <v>3.9421424476035805</v>
      </c>
      <c r="J43" s="157">
        <v>-0.7249013767914203</v>
      </c>
      <c r="K43" s="177">
        <v>-2.12801271375177</v>
      </c>
      <c r="L43" s="103"/>
    </row>
    <row r="44" spans="1:12" ht="12">
      <c r="A44" s="103"/>
      <c r="B44" s="114" t="s">
        <v>77</v>
      </c>
      <c r="C44" s="156">
        <v>93.17462861</v>
      </c>
      <c r="D44" s="156">
        <v>57.40096336</v>
      </c>
      <c r="E44" s="156">
        <v>92.80558161</v>
      </c>
      <c r="F44" s="156">
        <v>35.404618250000006</v>
      </c>
      <c r="G44" s="156">
        <v>-0.3690469999999948</v>
      </c>
      <c r="H44" s="157">
        <v>61.67948441553822</v>
      </c>
      <c r="I44" s="157">
        <v>-10.613117009250118</v>
      </c>
      <c r="J44" s="157">
        <v>-30.892036097611154</v>
      </c>
      <c r="K44" s="177">
        <v>-0.3960809992006653</v>
      </c>
      <c r="L44" s="290"/>
    </row>
    <row r="45" spans="1:12" ht="11.25">
      <c r="A45" s="103"/>
      <c r="B45" s="114" t="s">
        <v>135</v>
      </c>
      <c r="C45" s="156">
        <v>654.829145</v>
      </c>
      <c r="D45" s="156">
        <v>316.24713111999995</v>
      </c>
      <c r="E45" s="156">
        <v>449.55680738999996</v>
      </c>
      <c r="F45" s="156">
        <v>133.30967627</v>
      </c>
      <c r="G45" s="156">
        <v>-205.27233761000008</v>
      </c>
      <c r="H45" s="157">
        <v>42.1536397177357</v>
      </c>
      <c r="I45" s="157">
        <v>-15.748126460850564</v>
      </c>
      <c r="J45" s="157">
        <v>-45.80463233971922</v>
      </c>
      <c r="K45" s="177">
        <v>-31.34746508724807</v>
      </c>
      <c r="L45" s="103"/>
    </row>
    <row r="46" spans="1:12" ht="11.25">
      <c r="A46" s="103"/>
      <c r="B46" s="114" t="s">
        <v>141</v>
      </c>
      <c r="C46" s="156">
        <v>11675.187948100001</v>
      </c>
      <c r="D46" s="156">
        <v>13201.46550369645</v>
      </c>
      <c r="E46" s="156">
        <v>13563.05180933462</v>
      </c>
      <c r="F46" s="156">
        <v>361.5863056381695</v>
      </c>
      <c r="G46" s="156">
        <v>1887.8638612346185</v>
      </c>
      <c r="H46" s="157">
        <v>2.738986103754346</v>
      </c>
      <c r="I46" s="157">
        <v>11.793747678790446</v>
      </c>
      <c r="J46" s="157">
        <v>11.932957344354378</v>
      </c>
      <c r="K46" s="177">
        <v>16.16987983085827</v>
      </c>
      <c r="L46" s="103"/>
    </row>
    <row r="47" spans="1:12" ht="11.25">
      <c r="A47" s="103"/>
      <c r="B47" s="114" t="s">
        <v>47</v>
      </c>
      <c r="C47" s="156">
        <v>22478.307544750005</v>
      </c>
      <c r="D47" s="156">
        <v>23911.860002960002</v>
      </c>
      <c r="E47" s="156">
        <v>24099.816031870007</v>
      </c>
      <c r="F47" s="156">
        <v>187.95602891000453</v>
      </c>
      <c r="G47" s="156">
        <v>1621.5084871200015</v>
      </c>
      <c r="H47" s="157">
        <v>0.7860368406587268</v>
      </c>
      <c r="I47" s="157">
        <v>7.238604339094334</v>
      </c>
      <c r="J47" s="157">
        <v>6.402079364191482</v>
      </c>
      <c r="K47" s="177">
        <v>7.213659141783202</v>
      </c>
      <c r="L47" s="103"/>
    </row>
    <row r="48" spans="1:12" ht="11.25">
      <c r="A48" s="103"/>
      <c r="B48" s="115" t="s">
        <v>142</v>
      </c>
      <c r="C48" s="154">
        <v>2498.9825959871428</v>
      </c>
      <c r="D48" s="154">
        <v>2831.1607871847827</v>
      </c>
      <c r="E48" s="154">
        <v>2400.5668906644673</v>
      </c>
      <c r="F48" s="154">
        <v>-430.5938965203154</v>
      </c>
      <c r="G48" s="154">
        <v>-98.41570532267542</v>
      </c>
      <c r="H48" s="155">
        <v>-15.209093685861777</v>
      </c>
      <c r="I48" s="155">
        <v>21.42724615963345</v>
      </c>
      <c r="J48" s="155">
        <v>37.31873694958941</v>
      </c>
      <c r="K48" s="176">
        <v>-3.8341118897990523</v>
      </c>
      <c r="L48" s="103"/>
    </row>
    <row r="49" spans="1:12" ht="11.25">
      <c r="A49" s="103"/>
      <c r="B49" s="116"/>
      <c r="C49" s="154"/>
      <c r="D49" s="154"/>
      <c r="E49" s="154"/>
      <c r="F49" s="154"/>
      <c r="G49" s="156"/>
      <c r="H49" s="157"/>
      <c r="I49" s="157"/>
      <c r="J49" s="157"/>
      <c r="K49" s="177"/>
      <c r="L49" s="103"/>
    </row>
    <row r="50" spans="1:12" ht="11.25">
      <c r="A50" s="103"/>
      <c r="B50" s="113" t="s">
        <v>58</v>
      </c>
      <c r="C50" s="154">
        <v>47363.38028244522</v>
      </c>
      <c r="D50" s="154">
        <v>53883.07668696232</v>
      </c>
      <c r="E50" s="154">
        <v>50990.54329851236</v>
      </c>
      <c r="F50" s="154">
        <v>-2892.533388449956</v>
      </c>
      <c r="G50" s="154">
        <v>3627.163016067141</v>
      </c>
      <c r="H50" s="155">
        <v>-5.3681667163409035</v>
      </c>
      <c r="I50" s="155">
        <v>13.519021992244461</v>
      </c>
      <c r="J50" s="155">
        <v>15.224944495753</v>
      </c>
      <c r="K50" s="176">
        <v>7.658159097676376</v>
      </c>
      <c r="L50" s="103"/>
    </row>
    <row r="51" spans="1:12" ht="11.25">
      <c r="A51" s="103"/>
      <c r="B51" s="117" t="s">
        <v>66</v>
      </c>
      <c r="C51" s="154">
        <v>1093.8176391375046</v>
      </c>
      <c r="D51" s="154">
        <v>783.3911286395623</v>
      </c>
      <c r="E51" s="154">
        <v>714.84672833</v>
      </c>
      <c r="F51" s="154">
        <v>-68.54440030956232</v>
      </c>
      <c r="G51" s="154">
        <v>-378.97091080750454</v>
      </c>
      <c r="H51" s="155">
        <v>-8.749703411704008</v>
      </c>
      <c r="I51" s="155">
        <v>-33.83475623413699</v>
      </c>
      <c r="J51" s="155">
        <v>-29.93122327413508</v>
      </c>
      <c r="K51" s="176">
        <v>-34.646626388867716</v>
      </c>
      <c r="L51" s="103"/>
    </row>
    <row r="52" spans="1:12" ht="11.25">
      <c r="A52" s="103"/>
      <c r="B52" s="114" t="s">
        <v>53</v>
      </c>
      <c r="C52" s="156">
        <v>303.5252601600001</v>
      </c>
      <c r="D52" s="156">
        <v>660.66397841</v>
      </c>
      <c r="E52" s="156">
        <v>614.24672833</v>
      </c>
      <c r="F52" s="156">
        <v>-46.41725008000003</v>
      </c>
      <c r="G52" s="156">
        <v>310.7214681699999</v>
      </c>
      <c r="H52" s="157">
        <v>-7.025848479239177</v>
      </c>
      <c r="I52" s="157">
        <v>103.68738579785766</v>
      </c>
      <c r="J52" s="157">
        <v>94.88281113706576</v>
      </c>
      <c r="K52" s="177">
        <v>102.37087615251741</v>
      </c>
      <c r="L52" s="103"/>
    </row>
    <row r="53" spans="1:12" ht="11.25">
      <c r="A53" s="103"/>
      <c r="B53" s="114" t="s">
        <v>143</v>
      </c>
      <c r="C53" s="156">
        <v>569.30762875</v>
      </c>
      <c r="D53" s="156">
        <v>100.6</v>
      </c>
      <c r="E53" s="156">
        <v>100.6</v>
      </c>
      <c r="F53" s="156">
        <v>0</v>
      </c>
      <c r="G53" s="156">
        <v>-468.70762875</v>
      </c>
      <c r="H53" s="157">
        <v>0</v>
      </c>
      <c r="I53" s="157">
        <v>-82.38357357650405</v>
      </c>
      <c r="J53" s="157">
        <v>-100</v>
      </c>
      <c r="K53" s="177">
        <v>-82.32941297117652</v>
      </c>
      <c r="L53" s="103"/>
    </row>
    <row r="54" spans="1:12" ht="11.25">
      <c r="A54" s="103"/>
      <c r="B54" s="114" t="s">
        <v>64</v>
      </c>
      <c r="C54" s="156">
        <v>220.9847502275046</v>
      </c>
      <c r="D54" s="156">
        <v>22.127150229562236</v>
      </c>
      <c r="E54" s="156">
        <v>0</v>
      </c>
      <c r="F54" s="156">
        <v>-22.127150229562236</v>
      </c>
      <c r="G54" s="156">
        <v>-220.9847502275046</v>
      </c>
      <c r="H54" s="157">
        <v>-100</v>
      </c>
      <c r="I54" s="157">
        <v>-100</v>
      </c>
      <c r="J54" s="157">
        <v>-89.14881833343951</v>
      </c>
      <c r="K54" s="177">
        <v>-100</v>
      </c>
      <c r="L54" s="103"/>
    </row>
    <row r="55" spans="1:12" ht="11.25">
      <c r="A55" s="103"/>
      <c r="B55" s="114" t="s">
        <v>67</v>
      </c>
      <c r="C55" s="156">
        <v>0</v>
      </c>
      <c r="D55" s="156">
        <v>0</v>
      </c>
      <c r="E55" s="156">
        <v>0</v>
      </c>
      <c r="F55" s="156">
        <v>0</v>
      </c>
      <c r="G55" s="156">
        <v>0</v>
      </c>
      <c r="H55" s="157">
        <v>0</v>
      </c>
      <c r="I55" s="157">
        <v>0</v>
      </c>
      <c r="J55" s="157">
        <v>0</v>
      </c>
      <c r="K55" s="177">
        <v>0</v>
      </c>
      <c r="L55" s="103"/>
    </row>
    <row r="56" spans="1:12" ht="11.25">
      <c r="A56" s="103"/>
      <c r="B56" s="113" t="s">
        <v>68</v>
      </c>
      <c r="C56" s="154">
        <v>46269.56264330772</v>
      </c>
      <c r="D56" s="154">
        <v>53099.68555832276</v>
      </c>
      <c r="E56" s="154">
        <v>50275.696570182365</v>
      </c>
      <c r="F56" s="154">
        <v>-2823.988988140394</v>
      </c>
      <c r="G56" s="154">
        <v>4006.133926874645</v>
      </c>
      <c r="H56" s="155">
        <v>-5.318278175185478</v>
      </c>
      <c r="I56" s="155">
        <v>15.262521758553248</v>
      </c>
      <c r="J56" s="155">
        <v>16.330994297580514</v>
      </c>
      <c r="K56" s="176">
        <v>8.65824896111067</v>
      </c>
      <c r="L56" s="103"/>
    </row>
    <row r="57" spans="1:12" ht="11.25">
      <c r="A57" s="103"/>
      <c r="B57" s="114" t="s">
        <v>69</v>
      </c>
      <c r="C57" s="156">
        <v>29119.132081214673</v>
      </c>
      <c r="D57" s="156">
        <v>33161.54690439521</v>
      </c>
      <c r="E57" s="156">
        <v>30390.007464625203</v>
      </c>
      <c r="F57" s="156">
        <v>-2771.5394397700074</v>
      </c>
      <c r="G57" s="156">
        <v>1270.87538341053</v>
      </c>
      <c r="H57" s="157">
        <v>-8.35769045322391</v>
      </c>
      <c r="I57" s="157">
        <v>13.691482663711273</v>
      </c>
      <c r="J57" s="157">
        <v>15.057383709515616</v>
      </c>
      <c r="K57" s="177">
        <v>4.364399941131469</v>
      </c>
      <c r="L57" s="103"/>
    </row>
    <row r="58" spans="1:12" ht="11.25">
      <c r="A58" s="103"/>
      <c r="B58" s="118" t="s">
        <v>70</v>
      </c>
      <c r="C58" s="156">
        <v>19036.189702442894</v>
      </c>
      <c r="D58" s="156">
        <v>22387.752875135207</v>
      </c>
      <c r="E58" s="156">
        <v>19925.218824595206</v>
      </c>
      <c r="F58" s="156">
        <v>-2462.5340505400018</v>
      </c>
      <c r="G58" s="156">
        <v>889.0291221523112</v>
      </c>
      <c r="H58" s="157">
        <v>-10.9994695058252</v>
      </c>
      <c r="I58" s="157">
        <v>20.036772497166556</v>
      </c>
      <c r="J58" s="157">
        <v>20.037396964678123</v>
      </c>
      <c r="K58" s="177">
        <v>4.670205204134015</v>
      </c>
      <c r="L58" s="103"/>
    </row>
    <row r="59" spans="1:12" ht="11.25">
      <c r="A59" s="103"/>
      <c r="B59" s="118" t="s">
        <v>67</v>
      </c>
      <c r="C59" s="156">
        <v>10082.94237877178</v>
      </c>
      <c r="D59" s="156">
        <v>10773.794029260001</v>
      </c>
      <c r="E59" s="156">
        <v>10464.78864003</v>
      </c>
      <c r="F59" s="156">
        <v>-309.00538923000204</v>
      </c>
      <c r="G59" s="156">
        <v>381.8462612582189</v>
      </c>
      <c r="H59" s="157">
        <v>-2.8681204447643047</v>
      </c>
      <c r="I59" s="157">
        <v>2.4268610602554697</v>
      </c>
      <c r="J59" s="157">
        <v>5.925579062232433</v>
      </c>
      <c r="K59" s="177">
        <v>3.7870519032434657</v>
      </c>
      <c r="L59" s="103"/>
    </row>
    <row r="60" spans="1:12" ht="11.25">
      <c r="A60" s="103"/>
      <c r="B60" s="114" t="s">
        <v>144</v>
      </c>
      <c r="C60" s="156">
        <v>1051.9486637</v>
      </c>
      <c r="D60" s="156">
        <v>241.75958839999998</v>
      </c>
      <c r="E60" s="156">
        <v>295.90832728</v>
      </c>
      <c r="F60" s="156">
        <v>54.148738879999996</v>
      </c>
      <c r="G60" s="156">
        <v>-756.04033642</v>
      </c>
      <c r="H60" s="157">
        <v>22.39776268580047</v>
      </c>
      <c r="I60" s="157">
        <v>-77.68554403284944</v>
      </c>
      <c r="J60" s="157">
        <v>-72.397584750722</v>
      </c>
      <c r="K60" s="177">
        <v>-71.87045932078026</v>
      </c>
      <c r="L60" s="103"/>
    </row>
    <row r="61" spans="1:12" ht="11.25">
      <c r="A61" s="103"/>
      <c r="B61" s="114" t="s">
        <v>116</v>
      </c>
      <c r="C61" s="156">
        <v>3.93907692556274</v>
      </c>
      <c r="D61" s="156">
        <v>3.9324</v>
      </c>
      <c r="E61" s="156">
        <v>3.9324</v>
      </c>
      <c r="F61" s="156">
        <v>0</v>
      </c>
      <c r="G61" s="156">
        <v>-0.0066769255627399104</v>
      </c>
      <c r="H61" s="157">
        <v>0</v>
      </c>
      <c r="I61" s="157">
        <v>-0.11871559717804292</v>
      </c>
      <c r="J61" s="157">
        <v>-0.1449862646190958</v>
      </c>
      <c r="K61" s="177">
        <v>-0.1695048278800959</v>
      </c>
      <c r="L61" s="103"/>
    </row>
    <row r="62" spans="1:12" ht="11.25">
      <c r="A62" s="103"/>
      <c r="B62" s="114" t="s">
        <v>117</v>
      </c>
      <c r="C62" s="156">
        <v>6979.993894185614</v>
      </c>
      <c r="D62" s="156">
        <v>9791.56333143</v>
      </c>
      <c r="E62" s="156">
        <v>10369.473138542193</v>
      </c>
      <c r="F62" s="156">
        <v>577.9098071121934</v>
      </c>
      <c r="G62" s="156">
        <v>3389.4792443565784</v>
      </c>
      <c r="H62" s="157">
        <v>5.902119891898745</v>
      </c>
      <c r="I62" s="157">
        <v>41.41953201381157</v>
      </c>
      <c r="J62" s="157">
        <v>41.79046957797474</v>
      </c>
      <c r="K62" s="177">
        <v>48.55991703918308</v>
      </c>
      <c r="L62" s="103"/>
    </row>
    <row r="63" spans="1:12" ht="11.25">
      <c r="A63" s="103"/>
      <c r="B63" s="114" t="s">
        <v>92</v>
      </c>
      <c r="C63" s="156">
        <v>655.2715748100395</v>
      </c>
      <c r="D63" s="156">
        <v>1287.51808602</v>
      </c>
      <c r="E63" s="156">
        <v>1352.39499212</v>
      </c>
      <c r="F63" s="156">
        <v>64.87690610000004</v>
      </c>
      <c r="G63" s="156">
        <v>697.1234173099606</v>
      </c>
      <c r="H63" s="157">
        <v>5.038912214472167</v>
      </c>
      <c r="I63" s="157">
        <v>110.84761034468578</v>
      </c>
      <c r="J63" s="157">
        <v>90.26552140279006</v>
      </c>
      <c r="K63" s="177">
        <v>106.38694613177044</v>
      </c>
      <c r="L63" s="103"/>
    </row>
    <row r="64" spans="1:12" ht="11.25">
      <c r="A64" s="103"/>
      <c r="B64" s="114" t="s">
        <v>93</v>
      </c>
      <c r="C64" s="156">
        <v>141.72309852</v>
      </c>
      <c r="D64" s="156">
        <v>330.45879096000004</v>
      </c>
      <c r="E64" s="156">
        <v>35.45525985</v>
      </c>
      <c r="F64" s="156">
        <v>-295.00353111000004</v>
      </c>
      <c r="G64" s="156">
        <v>-106.26783867</v>
      </c>
      <c r="H64" s="157">
        <v>-89.27089827236836</v>
      </c>
      <c r="I64" s="157">
        <v>89.29479572897935</v>
      </c>
      <c r="J64" s="157">
        <v>116.32682043000932</v>
      </c>
      <c r="K64" s="177">
        <v>-74.98272319737877</v>
      </c>
      <c r="L64" s="103"/>
    </row>
    <row r="65" spans="1:12" ht="11.25">
      <c r="A65" s="103"/>
      <c r="B65" s="114" t="s">
        <v>64</v>
      </c>
      <c r="C65" s="156">
        <v>16.862017289999997</v>
      </c>
      <c r="D65" s="156">
        <v>4.923</v>
      </c>
      <c r="E65" s="156">
        <v>4.923</v>
      </c>
      <c r="F65" s="156">
        <v>0</v>
      </c>
      <c r="G65" s="156">
        <v>-11.939017289999997</v>
      </c>
      <c r="H65" s="157">
        <v>0</v>
      </c>
      <c r="I65" s="157">
        <v>-23.774596275625225</v>
      </c>
      <c r="J65" s="157">
        <v>-70.80420500505844</v>
      </c>
      <c r="K65" s="177">
        <v>-70.80420500505844</v>
      </c>
      <c r="L65" s="103"/>
    </row>
    <row r="66" spans="1:12" ht="11.25">
      <c r="A66" s="103"/>
      <c r="B66" s="114" t="s">
        <v>145</v>
      </c>
      <c r="C66" s="156">
        <v>0</v>
      </c>
      <c r="D66" s="156">
        <v>0</v>
      </c>
      <c r="E66" s="156">
        <v>0</v>
      </c>
      <c r="F66" s="156">
        <v>0</v>
      </c>
      <c r="G66" s="156">
        <v>0</v>
      </c>
      <c r="H66" s="157">
        <v>0</v>
      </c>
      <c r="I66" s="157">
        <v>0</v>
      </c>
      <c r="J66" s="157">
        <v>0</v>
      </c>
      <c r="K66" s="177">
        <v>0</v>
      </c>
      <c r="L66" s="103"/>
    </row>
    <row r="67" spans="1:12" ht="11.25">
      <c r="A67" s="103"/>
      <c r="B67" s="114" t="s">
        <v>146</v>
      </c>
      <c r="C67" s="156">
        <v>6197.931534516525</v>
      </c>
      <c r="D67" s="156">
        <v>6683.022643949113</v>
      </c>
      <c r="E67" s="156">
        <v>6745.639529864856</v>
      </c>
      <c r="F67" s="156">
        <v>62.61688591574239</v>
      </c>
      <c r="G67" s="156">
        <v>547.7079953483308</v>
      </c>
      <c r="H67" s="157">
        <v>0.9369545675928009</v>
      </c>
      <c r="I67" s="157">
        <v>8.876978165677961</v>
      </c>
      <c r="J67" s="157">
        <v>8.986314989085598</v>
      </c>
      <c r="K67" s="177">
        <v>8.836948138231659</v>
      </c>
      <c r="L67" s="103"/>
    </row>
    <row r="68" spans="1:12" ht="11.25">
      <c r="A68" s="103"/>
      <c r="B68" s="114" t="s">
        <v>94</v>
      </c>
      <c r="C68" s="156">
        <v>2079.780569013113</v>
      </c>
      <c r="D68" s="156">
        <v>2732.565274388433</v>
      </c>
      <c r="E68" s="156">
        <v>2155.423603150793</v>
      </c>
      <c r="F68" s="156">
        <v>-577.1416712376399</v>
      </c>
      <c r="G68" s="156">
        <v>75.64303413767993</v>
      </c>
      <c r="H68" s="157">
        <v>-21.12087409757515</v>
      </c>
      <c r="I68" s="157">
        <v>13.704647512592661</v>
      </c>
      <c r="J68" s="157">
        <v>30.579314730811724</v>
      </c>
      <c r="K68" s="177">
        <v>3.6370680284590673</v>
      </c>
      <c r="L68" s="103"/>
    </row>
    <row r="69" spans="1:12" ht="11.25" customHeight="1" hidden="1">
      <c r="A69" s="103"/>
      <c r="B69" s="114" t="s">
        <v>95</v>
      </c>
      <c r="C69" s="156">
        <v>22.98013313219183</v>
      </c>
      <c r="D69" s="156">
        <v>-1137.6044612199998</v>
      </c>
      <c r="E69" s="156">
        <v>-1077.461145250686</v>
      </c>
      <c r="F69" s="156">
        <v>60.14331596931379</v>
      </c>
      <c r="G69" s="156">
        <v>1137.6044612199998</v>
      </c>
      <c r="H69" s="157">
        <v>-5.286838969039763</v>
      </c>
      <c r="I69" s="157">
        <v>-54398.27404712626</v>
      </c>
      <c r="J69" s="157">
        <v>3367.672798735093</v>
      </c>
      <c r="K69" s="177">
        <v>-4788.663634160236</v>
      </c>
      <c r="L69" s="103"/>
    </row>
    <row r="70" spans="1:12" ht="12" customHeight="1" hidden="1">
      <c r="A70" s="103"/>
      <c r="B70" s="114" t="s">
        <v>95</v>
      </c>
      <c r="C70" s="147"/>
      <c r="D70" s="147"/>
      <c r="E70" s="147"/>
      <c r="F70" s="147"/>
      <c r="G70" s="147"/>
      <c r="H70" s="147"/>
      <c r="I70" s="147"/>
      <c r="J70" s="147"/>
      <c r="K70" s="178"/>
      <c r="L70" s="103"/>
    </row>
    <row r="71" spans="1:12" ht="12" customHeight="1" hidden="1" thickBot="1">
      <c r="A71" s="103"/>
      <c r="B71" s="119"/>
      <c r="C71" s="148">
        <v>0.0004877426035818644</v>
      </c>
      <c r="D71" s="148">
        <v>0.00872413520119153</v>
      </c>
      <c r="E71" s="148">
        <v>0.006783057382563129</v>
      </c>
      <c r="F71" s="148">
        <v>-0.0019410778186284006</v>
      </c>
      <c r="G71" s="148">
        <v>0.006295314778981265</v>
      </c>
      <c r="H71" s="148">
        <v>-3.749035132671885E-06</v>
      </c>
      <c r="I71" s="148">
        <v>-0.006733681829640403</v>
      </c>
      <c r="J71" s="148">
        <v>-0.006641119872364598</v>
      </c>
      <c r="K71" s="179">
        <v>-0.00645581851108723</v>
      </c>
      <c r="L71" s="103"/>
    </row>
    <row r="72" spans="1:12" ht="12" customHeight="1" hidden="1">
      <c r="A72" s="103"/>
      <c r="B72" s="119"/>
      <c r="C72" s="55"/>
      <c r="D72" s="55"/>
      <c r="E72" s="55"/>
      <c r="F72" s="55"/>
      <c r="G72" s="38"/>
      <c r="H72" s="38"/>
      <c r="I72" s="38"/>
      <c r="J72" s="38"/>
      <c r="K72" s="73"/>
      <c r="L72" s="103"/>
    </row>
    <row r="73" spans="1:12" ht="12" customHeight="1" thickBot="1">
      <c r="A73" s="103"/>
      <c r="B73" s="120"/>
      <c r="C73" s="121"/>
      <c r="D73" s="121"/>
      <c r="E73" s="121"/>
      <c r="F73" s="121"/>
      <c r="G73" s="40"/>
      <c r="H73" s="40"/>
      <c r="I73" s="40"/>
      <c r="J73" s="40"/>
      <c r="K73" s="77"/>
      <c r="L73" s="103"/>
    </row>
    <row r="74" ht="11.25">
      <c r="B74" s="54"/>
    </row>
    <row r="75" spans="2:10" ht="11.25">
      <c r="B75" s="52"/>
      <c r="E75" s="190"/>
      <c r="J75" t="s">
        <v>118</v>
      </c>
    </row>
    <row r="76" ht="12" thickBot="1">
      <c r="B76" s="52"/>
    </row>
    <row r="77" spans="2:12" ht="11.25">
      <c r="B77" s="321" t="s">
        <v>74</v>
      </c>
      <c r="C77" s="322"/>
      <c r="D77" s="322"/>
      <c r="E77" s="322"/>
      <c r="F77" s="322"/>
      <c r="G77" s="322"/>
      <c r="H77" s="322"/>
      <c r="I77" s="322"/>
      <c r="J77" s="322"/>
      <c r="K77" s="323"/>
      <c r="L77" s="103"/>
    </row>
    <row r="78" spans="2:12" ht="12" thickBot="1">
      <c r="B78" s="326" t="s">
        <v>113</v>
      </c>
      <c r="C78" s="327"/>
      <c r="D78" s="327"/>
      <c r="E78" s="327"/>
      <c r="F78" s="327"/>
      <c r="G78" s="327"/>
      <c r="H78" s="327"/>
      <c r="I78" s="327"/>
      <c r="J78" s="327"/>
      <c r="K78" s="328"/>
      <c r="L78" s="103"/>
    </row>
    <row r="79" spans="2:12" ht="11.25">
      <c r="B79" s="105"/>
      <c r="C79" s="104"/>
      <c r="D79" s="43"/>
      <c r="E79" s="104"/>
      <c r="F79" s="298" t="s">
        <v>106</v>
      </c>
      <c r="G79" s="300"/>
      <c r="H79" s="124" t="s">
        <v>123</v>
      </c>
      <c r="I79" s="298" t="s">
        <v>126</v>
      </c>
      <c r="J79" s="319"/>
      <c r="K79" s="320"/>
      <c r="L79" s="103"/>
    </row>
    <row r="80" spans="2:11" ht="11.25">
      <c r="B80" s="106"/>
      <c r="C80" s="12">
        <f>C33</f>
        <v>39965</v>
      </c>
      <c r="D80" s="67">
        <f>D33</f>
        <v>40299</v>
      </c>
      <c r="E80" s="12">
        <f>E33</f>
        <v>40330</v>
      </c>
      <c r="F80" s="12" t="s">
        <v>109</v>
      </c>
      <c r="G80" s="58" t="s">
        <v>108</v>
      </c>
      <c r="H80" s="58" t="s">
        <v>127</v>
      </c>
      <c r="I80" s="12">
        <f>I33</f>
        <v>40269</v>
      </c>
      <c r="J80" s="12">
        <f>J33</f>
        <v>40299</v>
      </c>
      <c r="K80" s="170">
        <f>K33</f>
        <v>40330</v>
      </c>
    </row>
    <row r="81" spans="2:14" ht="11.25">
      <c r="B81" s="72" t="s">
        <v>52</v>
      </c>
      <c r="C81" s="158">
        <v>48650.84118904498</v>
      </c>
      <c r="D81" s="158">
        <v>56238.24501366538</v>
      </c>
      <c r="E81" s="158">
        <v>53350.8747271928</v>
      </c>
      <c r="F81" s="158">
        <v>-2887.3702864725783</v>
      </c>
      <c r="G81" s="158">
        <v>4700.033538147822</v>
      </c>
      <c r="H81" s="159">
        <v>-5.134175658879422</v>
      </c>
      <c r="I81" s="159">
        <v>13.945515012894095</v>
      </c>
      <c r="J81" s="159">
        <v>16.620654109295717</v>
      </c>
      <c r="K81" s="180">
        <v>9.660744651638531</v>
      </c>
      <c r="L81" s="53"/>
      <c r="M81" s="53"/>
      <c r="N81" s="53"/>
    </row>
    <row r="82" spans="2:14" ht="11.25">
      <c r="B82" s="72" t="s">
        <v>1</v>
      </c>
      <c r="C82" s="158">
        <v>14913.189083741974</v>
      </c>
      <c r="D82" s="158">
        <v>16486.68630679044</v>
      </c>
      <c r="E82" s="158">
        <v>14144.417551039998</v>
      </c>
      <c r="F82" s="158">
        <v>-2342.2687557504432</v>
      </c>
      <c r="G82" s="158">
        <v>-768.771532701976</v>
      </c>
      <c r="H82" s="159">
        <v>-14.207031735575166</v>
      </c>
      <c r="I82" s="159">
        <v>1.2884409003082409</v>
      </c>
      <c r="J82" s="159">
        <v>5.409881095435676</v>
      </c>
      <c r="K82" s="180">
        <v>-5.154977438997765</v>
      </c>
      <c r="L82" s="53"/>
      <c r="M82" s="53"/>
      <c r="N82" s="53"/>
    </row>
    <row r="83" spans="2:11" ht="11.25">
      <c r="B83" s="72" t="s">
        <v>71</v>
      </c>
      <c r="C83" s="158">
        <v>31010.090718515865</v>
      </c>
      <c r="D83" s="158">
        <v>36564.06075729016</v>
      </c>
      <c r="E83" s="158">
        <v>36447.02762937834</v>
      </c>
      <c r="F83" s="158">
        <v>-117.03312791181816</v>
      </c>
      <c r="G83" s="158">
        <v>5436.936910862474</v>
      </c>
      <c r="H83" s="159">
        <v>-0.3200769430088097</v>
      </c>
      <c r="I83" s="159">
        <v>20.376696522013283</v>
      </c>
      <c r="J83" s="159">
        <v>21.07190310940281</v>
      </c>
      <c r="K83" s="180">
        <v>17.532799114373844</v>
      </c>
    </row>
    <row r="84" spans="2:11" ht="11.25">
      <c r="B84" s="74" t="s">
        <v>147</v>
      </c>
      <c r="C84" s="160">
        <v>-6829.091604040041</v>
      </c>
      <c r="D84" s="160">
        <v>-3767.9597936763007</v>
      </c>
      <c r="E84" s="160">
        <v>-4631.149417546298</v>
      </c>
      <c r="F84" s="160">
        <v>-863.1896238699969</v>
      </c>
      <c r="G84" s="160">
        <v>2197.942186493743</v>
      </c>
      <c r="H84" s="161">
        <v>22.908673954501122</v>
      </c>
      <c r="I84" s="161">
        <v>-39.834476864355636</v>
      </c>
      <c r="J84" s="161">
        <v>-50.43355166799559</v>
      </c>
      <c r="K84" s="181">
        <v>-32.18498614359569</v>
      </c>
    </row>
    <row r="85" spans="2:11" ht="11.25">
      <c r="B85" s="74" t="s">
        <v>148</v>
      </c>
      <c r="C85" s="160">
        <v>37839.182322555906</v>
      </c>
      <c r="D85" s="160">
        <v>40332.02055096646</v>
      </c>
      <c r="E85" s="160">
        <v>41078.17704692463</v>
      </c>
      <c r="F85" s="160">
        <v>746.1564959581738</v>
      </c>
      <c r="G85" s="160">
        <v>3238.9947243687275</v>
      </c>
      <c r="H85" s="161">
        <v>1.850034998904348</v>
      </c>
      <c r="I85" s="161">
        <v>8.08444974557565</v>
      </c>
      <c r="J85" s="161">
        <v>6.692480006299517</v>
      </c>
      <c r="K85" s="181">
        <v>8.559896185806238</v>
      </c>
    </row>
    <row r="86" spans="2:11" ht="11.25">
      <c r="B86" s="185" t="s">
        <v>46</v>
      </c>
      <c r="C86" s="160">
        <v>2910.350733605902</v>
      </c>
      <c r="D86" s="160">
        <v>2820.57289021</v>
      </c>
      <c r="E86" s="160">
        <v>2848.4180999800005</v>
      </c>
      <c r="F86" s="160">
        <v>27.845209770000565</v>
      </c>
      <c r="G86" s="160">
        <v>-61.93263362590142</v>
      </c>
      <c r="H86" s="161">
        <v>0.9872182302626971</v>
      </c>
      <c r="I86" s="161">
        <v>3.9421424476035805</v>
      </c>
      <c r="J86" s="161">
        <v>-0.7249013767914203</v>
      </c>
      <c r="K86" s="181">
        <v>-2.12801271375177</v>
      </c>
    </row>
    <row r="87" spans="2:11" ht="11.25">
      <c r="B87" s="185" t="s">
        <v>133</v>
      </c>
      <c r="C87" s="160">
        <v>93.17462861</v>
      </c>
      <c r="D87" s="160">
        <v>57.40096336</v>
      </c>
      <c r="E87" s="160">
        <v>92.80558161</v>
      </c>
      <c r="F87" s="160">
        <v>35.404618250000006</v>
      </c>
      <c r="G87" s="160">
        <v>-0.3690469999999948</v>
      </c>
      <c r="H87" s="161">
        <v>61.67948441553822</v>
      </c>
      <c r="I87" s="161">
        <v>-10.613117009250118</v>
      </c>
      <c r="J87" s="161">
        <v>-30.892036097611154</v>
      </c>
      <c r="K87" s="181">
        <v>-0.3960809992006653</v>
      </c>
    </row>
    <row r="88" spans="2:11" ht="11.25">
      <c r="B88" s="185" t="s">
        <v>135</v>
      </c>
      <c r="C88" s="160">
        <v>654.829145</v>
      </c>
      <c r="D88" s="160">
        <v>316.24713111999995</v>
      </c>
      <c r="E88" s="160">
        <v>449.55680738999996</v>
      </c>
      <c r="F88" s="160">
        <v>133.30967627</v>
      </c>
      <c r="G88" s="160">
        <v>-205.27233761000008</v>
      </c>
      <c r="H88" s="161">
        <v>42.1536397177357</v>
      </c>
      <c r="I88" s="161">
        <v>-15.748126460850564</v>
      </c>
      <c r="J88" s="161">
        <v>-45.80463233971922</v>
      </c>
      <c r="K88" s="181">
        <v>-31.34746508724807</v>
      </c>
    </row>
    <row r="89" spans="2:11" ht="11.25">
      <c r="B89" s="185" t="s">
        <v>122</v>
      </c>
      <c r="C89" s="160">
        <v>11675.187948100001</v>
      </c>
      <c r="D89" s="160">
        <v>13201.46550369645</v>
      </c>
      <c r="E89" s="160">
        <v>13563.05180933462</v>
      </c>
      <c r="F89" s="160">
        <v>361.5863056381695</v>
      </c>
      <c r="G89" s="160">
        <v>1887.8638612346185</v>
      </c>
      <c r="H89" s="161">
        <v>2.738986103754346</v>
      </c>
      <c r="I89" s="161">
        <v>11.793747678790446</v>
      </c>
      <c r="J89" s="161">
        <v>11.932957344354378</v>
      </c>
      <c r="K89" s="181">
        <v>16.16987983085827</v>
      </c>
    </row>
    <row r="90" spans="2:11" ht="11.25">
      <c r="B90" s="185" t="s">
        <v>47</v>
      </c>
      <c r="C90" s="160">
        <v>22500.264867240006</v>
      </c>
      <c r="D90" s="160">
        <v>23933.767062580002</v>
      </c>
      <c r="E90" s="160">
        <v>24121.777748610006</v>
      </c>
      <c r="F90" s="160">
        <v>188.01068603000385</v>
      </c>
      <c r="G90" s="160">
        <v>1621.5128813699994</v>
      </c>
      <c r="H90" s="161">
        <v>0.7855457335170404</v>
      </c>
      <c r="I90" s="161">
        <v>7.225035496157828</v>
      </c>
      <c r="J90" s="161">
        <v>6.393929428489042</v>
      </c>
      <c r="K90" s="181">
        <v>7.206639081528743</v>
      </c>
    </row>
    <row r="91" spans="2:11" ht="11.25">
      <c r="B91" s="185" t="s">
        <v>131</v>
      </c>
      <c r="C91" s="160">
        <v>5.375</v>
      </c>
      <c r="D91" s="160">
        <v>2.567</v>
      </c>
      <c r="E91" s="160">
        <v>2.567</v>
      </c>
      <c r="F91" s="160">
        <v>0</v>
      </c>
      <c r="G91" s="160">
        <v>-2.808</v>
      </c>
      <c r="H91" s="161">
        <v>0</v>
      </c>
      <c r="I91" s="161">
        <v>-51.06119925819081</v>
      </c>
      <c r="J91" s="161">
        <v>-47.104883577168756</v>
      </c>
      <c r="K91" s="181">
        <v>-52.241860465116275</v>
      </c>
    </row>
    <row r="92" spans="2:14" ht="11.25">
      <c r="B92" s="71" t="s">
        <v>142</v>
      </c>
      <c r="C92" s="160">
        <v>2727.561386787143</v>
      </c>
      <c r="D92" s="160">
        <v>3187.497949584783</v>
      </c>
      <c r="E92" s="160">
        <v>2759.4295467744673</v>
      </c>
      <c r="F92" s="160">
        <v>-428.06840281031555</v>
      </c>
      <c r="G92" s="160">
        <v>31.86815998732436</v>
      </c>
      <c r="H92" s="161">
        <v>-13.42960558974093</v>
      </c>
      <c r="I92" s="161">
        <v>20.34103306088424</v>
      </c>
      <c r="J92" s="161">
        <v>33.794014047999134</v>
      </c>
      <c r="K92" s="181">
        <v>1.168375536539723</v>
      </c>
      <c r="L92" s="53"/>
      <c r="M92" s="53"/>
      <c r="N92" s="53"/>
    </row>
    <row r="93" spans="2:11" ht="11.25">
      <c r="B93" s="71"/>
      <c r="C93" s="160"/>
      <c r="D93" s="160"/>
      <c r="E93" s="160"/>
      <c r="F93" s="158"/>
      <c r="G93" s="158"/>
      <c r="H93" s="159"/>
      <c r="I93" s="159"/>
      <c r="J93" s="159"/>
      <c r="K93" s="180"/>
    </row>
    <row r="94" spans="2:14" ht="11.25">
      <c r="B94" s="72" t="s">
        <v>58</v>
      </c>
      <c r="C94" s="158">
        <v>48650.84254189909</v>
      </c>
      <c r="D94" s="158">
        <v>56238.244686552745</v>
      </c>
      <c r="E94" s="158">
        <v>53350.91386729237</v>
      </c>
      <c r="F94" s="158">
        <v>-2887.3308192603727</v>
      </c>
      <c r="G94" s="158">
        <v>4700.0713253932845</v>
      </c>
      <c r="H94" s="159">
        <v>-5.13410551014365</v>
      </c>
      <c r="I94" s="159">
        <v>13.945417423429785</v>
      </c>
      <c r="J94" s="159">
        <v>16.62052046160989</v>
      </c>
      <c r="K94" s="180">
        <v>9.660822053277895</v>
      </c>
      <c r="L94" s="53"/>
      <c r="M94" s="53"/>
      <c r="N94" s="53"/>
    </row>
    <row r="95" spans="2:11" ht="11.25">
      <c r="B95" s="72" t="s">
        <v>72</v>
      </c>
      <c r="C95" s="158">
        <v>30366.58328485214</v>
      </c>
      <c r="D95" s="158">
        <v>34424.234178815204</v>
      </c>
      <c r="E95" s="158">
        <v>31658.51771217521</v>
      </c>
      <c r="F95" s="158">
        <v>-2765.716466639995</v>
      </c>
      <c r="G95" s="158">
        <v>1291.9344273230708</v>
      </c>
      <c r="H95" s="159">
        <v>-8.034213491209709</v>
      </c>
      <c r="I95" s="159">
        <v>12.805765725048591</v>
      </c>
      <c r="J95" s="159">
        <v>14.093587509674999</v>
      </c>
      <c r="K95" s="180">
        <v>4.254460948747996</v>
      </c>
    </row>
    <row r="96" spans="2:11" ht="11.25">
      <c r="B96" s="74" t="s">
        <v>149</v>
      </c>
      <c r="C96" s="160">
        <v>1132.9544204719027</v>
      </c>
      <c r="D96" s="160">
        <v>1130.75612442</v>
      </c>
      <c r="E96" s="160">
        <v>1135.61006398</v>
      </c>
      <c r="F96" s="160">
        <v>4.853939559999844</v>
      </c>
      <c r="G96" s="160">
        <v>2.655643508097228</v>
      </c>
      <c r="H96" s="161">
        <v>0.4292649365476203</v>
      </c>
      <c r="I96" s="161">
        <v>-8.237080990934153</v>
      </c>
      <c r="J96" s="161">
        <v>-8.441790593618691</v>
      </c>
      <c r="K96" s="181">
        <v>0.23439985405513397</v>
      </c>
    </row>
    <row r="97" spans="2:11" ht="11.25">
      <c r="B97" s="74" t="s">
        <v>150</v>
      </c>
      <c r="C97" s="160">
        <v>19146.74740868289</v>
      </c>
      <c r="D97" s="160">
        <v>22515.751625135206</v>
      </c>
      <c r="E97" s="160">
        <v>20054.186608165208</v>
      </c>
      <c r="F97" s="160">
        <v>-2461.5650169699984</v>
      </c>
      <c r="G97" s="160">
        <v>907.4391994823163</v>
      </c>
      <c r="H97" s="161">
        <v>-10.932635329935234</v>
      </c>
      <c r="I97" s="161">
        <v>20.034507410775326</v>
      </c>
      <c r="J97" s="161">
        <v>20.007983528201322</v>
      </c>
      <c r="K97" s="181">
        <v>4.739390874665217</v>
      </c>
    </row>
    <row r="98" spans="2:13" ht="11.25">
      <c r="B98" s="74" t="s">
        <v>151</v>
      </c>
      <c r="C98" s="160">
        <v>10082.94237877178</v>
      </c>
      <c r="D98" s="160">
        <v>10773.794029260001</v>
      </c>
      <c r="E98" s="160">
        <v>10464.78864003</v>
      </c>
      <c r="F98" s="160">
        <v>-309.00538923000204</v>
      </c>
      <c r="G98" s="160">
        <v>381.8462612582189</v>
      </c>
      <c r="H98" s="161">
        <v>-2.8681204447643047</v>
      </c>
      <c r="I98" s="161">
        <v>2.4268610602554697</v>
      </c>
      <c r="J98" s="161">
        <v>5.925579062232433</v>
      </c>
      <c r="K98" s="181">
        <v>3.7870519032434657</v>
      </c>
      <c r="L98" s="53"/>
      <c r="M98" s="53"/>
    </row>
    <row r="99" spans="2:11" ht="11.25">
      <c r="B99" s="74" t="s">
        <v>104</v>
      </c>
      <c r="C99" s="160">
        <v>3.93907692556274</v>
      </c>
      <c r="D99" s="160">
        <v>3.9324</v>
      </c>
      <c r="E99" s="160">
        <v>3.9324</v>
      </c>
      <c r="F99" s="160">
        <v>0</v>
      </c>
      <c r="G99" s="160">
        <v>-0.0066769255627399104</v>
      </c>
      <c r="H99" s="161">
        <v>0</v>
      </c>
      <c r="I99" s="161">
        <v>-0.11871559717804292</v>
      </c>
      <c r="J99" s="161">
        <v>-0.1449862646190958</v>
      </c>
      <c r="K99" s="181">
        <v>-0.1695048278800959</v>
      </c>
    </row>
    <row r="100" spans="2:14" ht="11.25">
      <c r="B100" s="71" t="s">
        <v>152</v>
      </c>
      <c r="C100" s="160">
        <v>18288.19833397251</v>
      </c>
      <c r="D100" s="160">
        <v>21817.94290773754</v>
      </c>
      <c r="E100" s="160">
        <v>21696.32855511716</v>
      </c>
      <c r="F100" s="160">
        <v>-121.61435262037776</v>
      </c>
      <c r="G100" s="160">
        <v>3408.1302211446528</v>
      </c>
      <c r="H100" s="161">
        <v>-0.5574052197984638</v>
      </c>
      <c r="I100" s="161">
        <v>15.78033609768601</v>
      </c>
      <c r="J100" s="161">
        <v>20.839582708285253</v>
      </c>
      <c r="K100" s="181">
        <v>18.635680556972332</v>
      </c>
      <c r="N100" s="53"/>
    </row>
    <row r="101" spans="2:11" ht="12" thickBot="1">
      <c r="B101" s="122"/>
      <c r="C101" s="167"/>
      <c r="D101" s="167"/>
      <c r="E101" s="167"/>
      <c r="F101" s="168"/>
      <c r="G101" s="168"/>
      <c r="H101" s="169"/>
      <c r="I101" s="169"/>
      <c r="J101" s="169"/>
      <c r="K101" s="182"/>
    </row>
    <row r="102" spans="2:13" ht="12" customHeight="1" hidden="1" thickBot="1">
      <c r="B102" s="39" t="s">
        <v>73</v>
      </c>
      <c r="C102" s="162">
        <v>-0.05498356260068249</v>
      </c>
      <c r="D102" s="162">
        <v>0.017375904790242203</v>
      </c>
      <c r="E102" s="162">
        <v>0.0003271126333856955</v>
      </c>
      <c r="F102" s="162">
        <v>-0.017048792156856507</v>
      </c>
      <c r="G102" s="162">
        <v>0.055310675234068185</v>
      </c>
      <c r="H102" s="162">
        <v>-3.078014430091258E-05</v>
      </c>
      <c r="I102" s="162">
        <v>8.184313404768773E-05</v>
      </c>
      <c r="J102" s="162">
        <v>9.758946431048798E-05</v>
      </c>
      <c r="K102" s="162">
        <v>0.0001336476858284641</v>
      </c>
      <c r="L102" s="53"/>
      <c r="M102" s="53"/>
    </row>
    <row r="103" spans="2:11" ht="11.25">
      <c r="B103" s="31"/>
      <c r="C103" s="31"/>
      <c r="D103" s="31"/>
      <c r="E103" s="31"/>
      <c r="F103" s="31"/>
      <c r="G103" s="31"/>
      <c r="H103" s="31"/>
      <c r="I103" s="31"/>
      <c r="J103" s="31"/>
      <c r="K103" s="31"/>
    </row>
  </sheetData>
  <sheetProtection/>
  <mergeCells count="12">
    <mergeCell ref="I4:K4"/>
    <mergeCell ref="I32:K32"/>
    <mergeCell ref="I79:K79"/>
    <mergeCell ref="F32:G32"/>
    <mergeCell ref="F79:G79"/>
    <mergeCell ref="B2:K2"/>
    <mergeCell ref="B3:K3"/>
    <mergeCell ref="B77:K77"/>
    <mergeCell ref="B78:K78"/>
    <mergeCell ref="B30:K30"/>
    <mergeCell ref="B31:K31"/>
    <mergeCell ref="F4:G4"/>
  </mergeCell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Steytler</dc:creator>
  <cp:keywords/>
  <dc:description/>
  <cp:lastModifiedBy>ham442</cp:lastModifiedBy>
  <cp:lastPrinted>2010-07-30T10:51:04Z</cp:lastPrinted>
  <dcterms:created xsi:type="dcterms:W3CDTF">1999-07-02T10:21:54Z</dcterms:created>
  <dcterms:modified xsi:type="dcterms:W3CDTF">2010-07-30T14:51:55Z</dcterms:modified>
  <cp:category/>
  <cp:version/>
  <cp:contentType/>
  <cp:contentStatus/>
</cp:coreProperties>
</file>