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'S2'!$A$4:$Q$61</definedName>
    <definedName name="_xlnm.Print_Area" localSheetId="3">'S3'!$A$4:$R$81</definedName>
    <definedName name="_xlnm.Print_Area" localSheetId="4">'S4'!$A$1:$C$88</definedName>
    <definedName name="_xlnm.Print_Area" localSheetId="5">'S5'!$A$4:$P$64</definedName>
    <definedName name="_xlnm.Print_Area" localSheetId="6">'S6'!$B$4:$CF$20</definedName>
    <definedName name="_xlnm.Print_Area" localSheetId="7">'S7'!$A$4:$R$68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'S7'!$A$1:$J$60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'S7'!$A$1:$J$60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'S7'!$A$1:$I$60</definedName>
  </definedNames>
  <calcPr fullCalcOnLoad="1"/>
</workbook>
</file>

<file path=xl/sharedStrings.xml><?xml version="1.0" encoding="utf-8"?>
<sst xmlns="http://schemas.openxmlformats.org/spreadsheetml/2006/main" count="258" uniqueCount="172">
  <si>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</si>
  <si>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</si>
  <si>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</si>
  <si>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</si>
  <si>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</si>
  <si>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</si>
  <si>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</si>
  <si>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</si>
  <si>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</si>
  <si>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</si>
  <si>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</si>
  <si>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</si>
  <si>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</si>
  <si>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</si>
  <si>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</si>
  <si>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</si>
  <si>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</si>
  <si>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</si>
  <si>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</si>
  <si>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</si>
  <si>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</si>
  <si>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</si>
  <si>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</si>
  <si>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</si>
  <si>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</si>
  <si>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</si>
  <si>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</si>
  <si>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</si>
  <si>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</si>
  <si>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</si>
  <si>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</si>
  <si>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</si>
  <si>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</si>
  <si>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</si>
  <si>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</si>
  <si>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</si>
  <si>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</si>
  <si>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</si>
  <si>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</si>
  <si>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</si>
  <si>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</si>
  <si>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</si>
  <si>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</si>
  <si>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</si>
  <si>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</si>
  <si>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</si>
  <si>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</si>
  <si>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</si>
  <si>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</si>
  <si>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</si>
  <si>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</si>
  <si>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</si>
  <si>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</si>
  <si>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</si>
  <si>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</si>
  <si>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</si>
  <si>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</si>
  <si>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</si>
  <si>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</si>
  <si>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</si>
  <si>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</si>
  <si>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</si>
  <si>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</si>
  <si>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</si>
  <si>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</si>
  <si>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</si>
  <si>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</si>
  <si>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</si>
  <si>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</si>
  <si>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</si>
  <si>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</si>
  <si>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</si>
  <si>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</si>
  <si>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</si>
  <si>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</si>
  <si>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</si>
  <si>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</si>
  <si>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</si>
  <si>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</si>
  <si>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</si>
  <si>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</si>
  <si>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</si>
  <si>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</si>
  <si>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</si>
  <si>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</si>
  <si>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</si>
  <si>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</si>
  <si>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</si>
  <si>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</si>
  <si>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</si>
  <si>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</si>
  <si>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</si>
  <si>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</si>
  <si>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</si>
  <si>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</si>
  <si>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</si>
  <si>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</si>
  <si>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</si>
  <si>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</si>
  <si>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</si>
  <si>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</si>
  <si>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</si>
  <si>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</si>
  <si>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</si>
  <si>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</si>
  <si>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</si>
  <si>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</si>
  <si>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</si>
  <si>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</si>
  <si>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</si>
  <si>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</si>
  <si>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</si>
  <si>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</si>
  <si>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</si>
  <si>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</si>
  <si>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</si>
  <si>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</si>
  <si>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</si>
  <si>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</si>
  <si>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</si>
  <si>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</si>
  <si>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</si>
  <si>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</si>
  <si>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</si>
  <si>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</si>
  <si>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</si>
  <si>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</si>
  <si>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</si>
  <si>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</si>
  <si>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</si>
  <si>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</si>
  <si>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Money and Banking Statistics*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</si>
  <si>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</si>
  <si>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</si>
  <si>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</si>
  <si>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</si>
  <si>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</si>
  <si>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</si>
  <si>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</si>
  <si>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</si>
  <si>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</si>
  <si>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</si>
  <si>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</si>
  <si>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</si>
  <si>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</si>
  <si>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</si>
  <si>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</si>
  <si>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</si>
  <si>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</si>
  <si>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</si>
  <si>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</si>
  <si>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</si>
  <si>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</si>
  <si>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</si>
  <si>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</si>
  <si>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</si>
  <si>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</si>
  <si>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</si>
  <si>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</si>
  <si>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</si>
  <si>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   Foreign  Reserves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</si>
  <si>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</si>
  <si>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</si>
  <si>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</si>
  <si>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</si>
  <si>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</si>
  <si>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</si>
  <si>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 xml:space="preserve"> U.S Dollar/Namibia Dollar exchange rate</t>
  </si>
  <si>
    <t>Money Supply (annual  percentage changes)</t>
  </si>
  <si>
    <t xml:space="preserve"> Selected interest rates</t>
  </si>
  <si>
    <t>Money Supply (month-on-month  percentage changes)</t>
  </si>
  <si>
    <t xml:space="preserve">      Domestic and other sectors claims (month-on-month  percentage changes)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</si>
</sst>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0000"/>
    <numFmt numFmtId="167" formatCode="0.000"/>
    <numFmt numFmtId="168" formatCode="#,##0.0"/>
    <numFmt numFmtId="169" formatCode="_(* #,##0.0_);_(* \(#,##0.0\);_(* &quot;-&quot;??_);_(@_)"/>
    <numFmt numFmtId="170" formatCode="[$-409]mmm\-yy;@"/>
    <numFmt numFmtId="171" formatCode="[$-409]mmmm\-yy;@"/>
    <numFmt numFmtId="172" formatCode="#,##0.0_);\(#,##0.0\)"/>
    <numFmt numFmtId="173" formatCode="_(* #,##0.0000_);_(* \(#,##0.0000\);_(* &quot;-&quot;??_);_(@_)"/>
    <numFmt numFmtId="174" formatCode="#,##0.000000"/>
    <numFmt numFmtId="175" formatCode="0.0%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8" fontId="13" fillId="33" borderId="14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4" fillId="0" borderId="0" xfId="0" applyNumberFormat="1" applyFont="1" applyAlignment="1">
      <alignment horizontal="center"/>
    </xf>
    <xf numFmtId="168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/>
    </xf>
    <xf numFmtId="168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68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68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8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170" fontId="10" fillId="35" borderId="19" xfId="0" applyNumberFormat="1" applyFont="1" applyFill="1" applyBorder="1" applyAlignment="1">
      <alignment horizontal="center"/>
    </xf>
    <xf numFmtId="165" fontId="9" fillId="35" borderId="1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165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68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1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68" fontId="4" fillId="0" borderId="22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65" fontId="9" fillId="35" borderId="15" xfId="0" applyNumberFormat="1" applyFont="1" applyFill="1" applyBorder="1" applyAlignment="1">
      <alignment horizontal="right"/>
    </xf>
    <xf numFmtId="168" fontId="9" fillId="35" borderId="20" xfId="0" applyNumberFormat="1" applyFont="1" applyFill="1" applyBorder="1" applyAlignment="1">
      <alignment/>
    </xf>
    <xf numFmtId="168" fontId="9" fillId="35" borderId="16" xfId="0" applyNumberFormat="1" applyFont="1" applyFill="1" applyBorder="1" applyAlignment="1">
      <alignment/>
    </xf>
    <xf numFmtId="17" fontId="13" fillId="33" borderId="21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68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68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68" fontId="27" fillId="35" borderId="11" xfId="121" applyNumberFormat="1" applyFont="1" applyFill="1" applyBorder="1" applyAlignment="1">
      <alignment horizontal="left" indent="1"/>
      <protection/>
    </xf>
    <xf numFmtId="168" fontId="4" fillId="35" borderId="11" xfId="121" applyNumberFormat="1" applyFont="1" applyFill="1" applyBorder="1">
      <alignment/>
      <protection/>
    </xf>
    <xf numFmtId="168" fontId="26" fillId="35" borderId="12" xfId="121" applyNumberFormat="1" applyFont="1" applyFill="1" applyBorder="1">
      <alignment/>
      <protection/>
    </xf>
    <xf numFmtId="168" fontId="26" fillId="35" borderId="11" xfId="0" applyNumberFormat="1" applyFont="1" applyFill="1" applyBorder="1" applyAlignment="1">
      <alignment/>
    </xf>
    <xf numFmtId="168" fontId="27" fillId="35" borderId="11" xfId="0" applyNumberFormat="1" applyFont="1" applyFill="1" applyBorder="1" applyAlignment="1">
      <alignment horizontal="left" indent="1"/>
    </xf>
    <xf numFmtId="168" fontId="27" fillId="35" borderId="11" xfId="0" applyNumberFormat="1" applyFont="1" applyFill="1" applyBorder="1" applyAlignment="1">
      <alignment horizontal="left"/>
    </xf>
    <xf numFmtId="168" fontId="26" fillId="35" borderId="11" xfId="0" applyNumberFormat="1" applyFont="1" applyFill="1" applyBorder="1" applyAlignment="1">
      <alignment horizontal="left" indent="2"/>
    </xf>
    <xf numFmtId="168" fontId="26" fillId="35" borderId="11" xfId="0" applyNumberFormat="1" applyFont="1" applyFill="1" applyBorder="1" applyAlignment="1">
      <alignment horizontal="left"/>
    </xf>
    <xf numFmtId="168" fontId="4" fillId="35" borderId="11" xfId="0" applyNumberFormat="1" applyFont="1" applyFill="1" applyBorder="1" applyAlignment="1">
      <alignment horizontal="left" indent="2"/>
    </xf>
    <xf numFmtId="168" fontId="4" fillId="35" borderId="11" xfId="0" applyNumberFormat="1" applyFont="1" applyFill="1" applyBorder="1" applyAlignment="1">
      <alignment/>
    </xf>
    <xf numFmtId="168" fontId="27" fillId="35" borderId="12" xfId="0" applyNumberFormat="1" applyFont="1" applyFill="1" applyBorder="1" applyAlignment="1">
      <alignment horizontal="left" indent="1"/>
    </xf>
    <xf numFmtId="168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5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46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68" fontId="26" fillId="35" borderId="0" xfId="114" applyNumberFormat="1" applyFont="1" applyFill="1" applyBorder="1">
      <alignment/>
      <protection/>
    </xf>
    <xf numFmtId="168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68" fontId="26" fillId="35" borderId="18" xfId="114" applyNumberFormat="1" applyFont="1" applyFill="1" applyBorder="1">
      <alignment/>
      <protection/>
    </xf>
    <xf numFmtId="168" fontId="4" fillId="35" borderId="0" xfId="114" applyNumberFormat="1" applyFont="1" applyFill="1" applyBorder="1" applyAlignment="1">
      <alignment horizontal="right"/>
      <protection/>
    </xf>
    <xf numFmtId="168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68" fontId="26" fillId="35" borderId="18" xfId="114" applyNumberFormat="1" applyFont="1" applyFill="1" applyBorder="1" applyAlignment="1">
      <alignment horizontal="right"/>
      <protection/>
    </xf>
    <xf numFmtId="168" fontId="26" fillId="35" borderId="0" xfId="114" applyNumberFormat="1" applyFont="1" applyFill="1" applyBorder="1" applyAlignment="1">
      <alignment horizontal="right"/>
      <protection/>
    </xf>
    <xf numFmtId="168" fontId="26" fillId="35" borderId="0" xfId="119" applyNumberFormat="1" applyFont="1" applyFill="1" applyBorder="1">
      <alignment/>
      <protection/>
    </xf>
    <xf numFmtId="165" fontId="26" fillId="35" borderId="0" xfId="119" applyNumberFormat="1" applyFont="1" applyFill="1" applyBorder="1">
      <alignment/>
      <protection/>
    </xf>
    <xf numFmtId="168" fontId="4" fillId="35" borderId="0" xfId="119" applyNumberFormat="1" applyFont="1" applyFill="1" applyBorder="1">
      <alignment/>
      <protection/>
    </xf>
    <xf numFmtId="165" fontId="4" fillId="35" borderId="0" xfId="119" applyNumberFormat="1" applyFont="1" applyFill="1" applyBorder="1">
      <alignment/>
      <protection/>
    </xf>
    <xf numFmtId="168" fontId="26" fillId="35" borderId="21" xfId="119" applyNumberFormat="1" applyFont="1" applyFill="1" applyBorder="1">
      <alignment/>
      <protection/>
    </xf>
    <xf numFmtId="168" fontId="26" fillId="35" borderId="33" xfId="119" applyNumberFormat="1" applyFont="1" applyFill="1" applyBorder="1">
      <alignment/>
      <protection/>
    </xf>
    <xf numFmtId="168" fontId="4" fillId="35" borderId="0" xfId="120" applyNumberFormat="1" applyFont="1" applyFill="1" applyBorder="1">
      <alignment/>
      <protection/>
    </xf>
    <xf numFmtId="168" fontId="26" fillId="35" borderId="18" xfId="120" applyNumberFormat="1" applyFont="1" applyFill="1" applyBorder="1">
      <alignment/>
      <protection/>
    </xf>
    <xf numFmtId="168" fontId="26" fillId="35" borderId="0" xfId="108" applyNumberFormat="1" applyFont="1" applyFill="1" applyBorder="1">
      <alignment/>
      <protection/>
    </xf>
    <xf numFmtId="168" fontId="4" fillId="35" borderId="0" xfId="108" applyNumberFormat="1" applyFont="1" applyFill="1" applyBorder="1">
      <alignment/>
      <protection/>
    </xf>
    <xf numFmtId="168" fontId="26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 applyAlignment="1">
      <alignment horizontal="right"/>
      <protection/>
    </xf>
    <xf numFmtId="172" fontId="4" fillId="35" borderId="0" xfId="50" applyNumberFormat="1" applyFont="1" applyFill="1" applyBorder="1" applyAlignment="1">
      <alignment horizontal="right"/>
    </xf>
    <xf numFmtId="172" fontId="4" fillId="36" borderId="0" xfId="50" applyNumberFormat="1" applyFont="1" applyFill="1" applyBorder="1" applyAlignment="1">
      <alignment horizontal="right"/>
    </xf>
    <xf numFmtId="168" fontId="26" fillId="35" borderId="0" xfId="110" applyNumberFormat="1" applyFont="1" applyFill="1" applyBorder="1">
      <alignment/>
      <protection/>
    </xf>
    <xf numFmtId="165" fontId="26" fillId="35" borderId="0" xfId="110" applyNumberFormat="1" applyFont="1" applyFill="1" applyBorder="1">
      <alignment/>
      <protection/>
    </xf>
    <xf numFmtId="168" fontId="4" fillId="35" borderId="0" xfId="110" applyNumberFormat="1" applyFont="1" applyFill="1" applyBorder="1">
      <alignment/>
      <protection/>
    </xf>
    <xf numFmtId="165" fontId="4" fillId="35" borderId="0" xfId="110" applyNumberFormat="1" applyFont="1" applyFill="1" applyBorder="1">
      <alignment/>
      <protection/>
    </xf>
    <xf numFmtId="168" fontId="26" fillId="35" borderId="0" xfId="111" applyNumberFormat="1" applyFont="1" applyFill="1" applyBorder="1">
      <alignment/>
      <protection/>
    </xf>
    <xf numFmtId="165" fontId="26" fillId="35" borderId="0" xfId="111" applyNumberFormat="1" applyFont="1" applyFill="1" applyBorder="1">
      <alignment/>
      <protection/>
    </xf>
    <xf numFmtId="168" fontId="4" fillId="35" borderId="0" xfId="111" applyNumberFormat="1" applyFont="1" applyFill="1" applyBorder="1">
      <alignment/>
      <protection/>
    </xf>
    <xf numFmtId="165" fontId="4" fillId="35" borderId="0" xfId="111" applyNumberFormat="1" applyFont="1" applyFill="1" applyBorder="1">
      <alignment/>
      <protection/>
    </xf>
    <xf numFmtId="168" fontId="26" fillId="35" borderId="18" xfId="111" applyNumberFormat="1" applyFont="1" applyFill="1" applyBorder="1">
      <alignment/>
      <protection/>
    </xf>
    <xf numFmtId="0" fontId="98" fillId="0" borderId="0" xfId="0" applyFont="1" applyAlignment="1">
      <alignment/>
    </xf>
    <xf numFmtId="172" fontId="4" fillId="38" borderId="0" xfId="50" applyNumberFormat="1" applyFont="1" applyFill="1" applyBorder="1" applyAlignment="1">
      <alignment horizontal="right"/>
    </xf>
    <xf numFmtId="168" fontId="4" fillId="38" borderId="0" xfId="109" applyNumberFormat="1" applyFont="1" applyFill="1" applyBorder="1">
      <alignment/>
      <protection/>
    </xf>
    <xf numFmtId="168" fontId="4" fillId="38" borderId="18" xfId="109" applyNumberFormat="1" applyFont="1" applyFill="1" applyBorder="1">
      <alignment/>
      <protection/>
    </xf>
    <xf numFmtId="168" fontId="48" fillId="35" borderId="18" xfId="111" applyNumberFormat="1" applyFont="1" applyFill="1" applyBorder="1">
      <alignment/>
      <protection/>
    </xf>
    <xf numFmtId="168" fontId="49" fillId="35" borderId="18" xfId="111" applyNumberFormat="1" applyFont="1" applyFill="1" applyBorder="1">
      <alignment/>
      <protection/>
    </xf>
    <xf numFmtId="165" fontId="49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68" fontId="4" fillId="35" borderId="18" xfId="108" applyNumberFormat="1" applyFont="1" applyFill="1" applyBorder="1">
      <alignment/>
      <protection/>
    </xf>
    <xf numFmtId="165" fontId="26" fillId="35" borderId="26" xfId="119" applyNumberFormat="1" applyFont="1" applyFill="1" applyBorder="1">
      <alignment/>
      <protection/>
    </xf>
    <xf numFmtId="165" fontId="4" fillId="35" borderId="26" xfId="119" applyNumberFormat="1" applyFont="1" applyFill="1" applyBorder="1">
      <alignment/>
      <protection/>
    </xf>
    <xf numFmtId="168" fontId="26" fillId="35" borderId="18" xfId="119" applyNumberFormat="1" applyFont="1" applyFill="1" applyBorder="1">
      <alignment/>
      <protection/>
    </xf>
    <xf numFmtId="165" fontId="26" fillId="35" borderId="18" xfId="119" applyNumberFormat="1" applyFont="1" applyFill="1" applyBorder="1">
      <alignment/>
      <protection/>
    </xf>
    <xf numFmtId="165" fontId="26" fillId="35" borderId="27" xfId="119" applyNumberFormat="1" applyFont="1" applyFill="1" applyBorder="1">
      <alignment/>
      <protection/>
    </xf>
    <xf numFmtId="165" fontId="26" fillId="35" borderId="26" xfId="110" applyNumberFormat="1" applyFont="1" applyFill="1" applyBorder="1">
      <alignment/>
      <protection/>
    </xf>
    <xf numFmtId="165" fontId="4" fillId="35" borderId="26" xfId="110" applyNumberFormat="1" applyFont="1" applyFill="1" applyBorder="1">
      <alignment/>
      <protection/>
    </xf>
    <xf numFmtId="168" fontId="4" fillId="35" borderId="26" xfId="120" applyNumberFormat="1" applyFont="1" applyFill="1" applyBorder="1">
      <alignment/>
      <protection/>
    </xf>
    <xf numFmtId="168" fontId="26" fillId="35" borderId="27" xfId="120" applyNumberFormat="1" applyFont="1" applyFill="1" applyBorder="1">
      <alignment/>
      <protection/>
    </xf>
    <xf numFmtId="165" fontId="26" fillId="35" borderId="26" xfId="111" applyNumberFormat="1" applyFont="1" applyFill="1" applyBorder="1">
      <alignment/>
      <protection/>
    </xf>
    <xf numFmtId="165" fontId="4" fillId="35" borderId="26" xfId="111" applyNumberFormat="1" applyFont="1" applyFill="1" applyBorder="1">
      <alignment/>
      <protection/>
    </xf>
    <xf numFmtId="165" fontId="49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68" fontId="4" fillId="39" borderId="0" xfId="109" applyNumberFormat="1" applyFont="1" applyFill="1" applyBorder="1">
      <alignment/>
      <protection/>
    </xf>
    <xf numFmtId="0" fontId="99" fillId="0" borderId="0" xfId="0" applyFont="1" applyAlignment="1">
      <alignment/>
    </xf>
    <xf numFmtId="0" fontId="5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174" fontId="0" fillId="0" borderId="0" xfId="0" applyNumberFormat="1" applyAlignment="1">
      <alignment/>
    </xf>
    <xf numFmtId="168" fontId="4" fillId="38" borderId="18" xfId="109" applyNumberFormat="1" applyFont="1" applyFill="1" applyBorder="1" applyAlignment="1">
      <alignment horizontal="right"/>
      <protection/>
    </xf>
    <xf numFmtId="43" fontId="9" fillId="35" borderId="15" xfId="42" applyNumberFormat="1" applyFont="1" applyFill="1" applyBorder="1" applyAlignment="1">
      <alignment/>
    </xf>
    <xf numFmtId="43" fontId="15" fillId="0" borderId="0" xfId="0" applyNumberFormat="1" applyFont="1" applyAlignment="1">
      <alignment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43" fontId="10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75" fontId="0" fillId="0" borderId="0" xfId="124" applyNumberFormat="1" applyFont="1" applyAlignment="1">
      <alignment/>
    </xf>
    <xf numFmtId="0" fontId="54" fillId="0" borderId="0" xfId="0" applyFont="1" applyAlignment="1">
      <alignment/>
    </xf>
    <xf numFmtId="165" fontId="26" fillId="0" borderId="0" xfId="110" applyNumberFormat="1" applyFont="1" applyFill="1" applyBorder="1">
      <alignment/>
      <protection/>
    </xf>
    <xf numFmtId="168" fontId="13" fillId="33" borderId="35" xfId="0" applyNumberFormat="1" applyFont="1" applyFill="1" applyBorder="1" applyAlignment="1">
      <alignment/>
    </xf>
    <xf numFmtId="168" fontId="13" fillId="33" borderId="36" xfId="0" applyNumberFormat="1" applyFont="1" applyFill="1" applyBorder="1" applyAlignment="1">
      <alignment/>
    </xf>
    <xf numFmtId="168" fontId="13" fillId="33" borderId="25" xfId="0" applyNumberFormat="1" applyFont="1" applyFill="1" applyBorder="1" applyAlignment="1">
      <alignment/>
    </xf>
    <xf numFmtId="168" fontId="13" fillId="33" borderId="33" xfId="0" applyNumberFormat="1" applyFont="1" applyFill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/>
    </xf>
    <xf numFmtId="0" fontId="55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68" fontId="55" fillId="35" borderId="15" xfId="0" applyNumberFormat="1" applyFont="1" applyFill="1" applyBorder="1" applyAlignment="1">
      <alignment horizontal="center"/>
    </xf>
    <xf numFmtId="165" fontId="55" fillId="35" borderId="15" xfId="0" applyNumberFormat="1" applyFont="1" applyFill="1" applyBorder="1" applyAlignment="1">
      <alignment/>
    </xf>
    <xf numFmtId="165" fontId="55" fillId="35" borderId="15" xfId="0" applyNumberFormat="1" applyFont="1" applyFill="1" applyBorder="1" applyAlignment="1">
      <alignment horizontal="right"/>
    </xf>
    <xf numFmtId="165" fontId="55" fillId="35" borderId="26" xfId="0" applyNumberFormat="1" applyFont="1" applyFill="1" applyBorder="1" applyAlignment="1">
      <alignment/>
    </xf>
    <xf numFmtId="165" fontId="55" fillId="35" borderId="26" xfId="0" applyNumberFormat="1" applyFont="1" applyFill="1" applyBorder="1" applyAlignment="1">
      <alignment horizontal="right"/>
    </xf>
    <xf numFmtId="165" fontId="55" fillId="35" borderId="15" xfId="0" applyNumberFormat="1" applyFont="1" applyFill="1" applyBorder="1" applyAlignment="1">
      <alignment/>
    </xf>
    <xf numFmtId="165" fontId="100" fillId="35" borderId="15" xfId="0" applyNumberFormat="1" applyFont="1" applyFill="1" applyBorder="1" applyAlignment="1">
      <alignment/>
    </xf>
    <xf numFmtId="169" fontId="100" fillId="35" borderId="15" xfId="42" applyNumberFormat="1" applyFont="1" applyFill="1" applyBorder="1" applyAlignment="1">
      <alignment horizontal="right"/>
    </xf>
    <xf numFmtId="43" fontId="100" fillId="35" borderId="15" xfId="42" applyNumberFormat="1" applyFont="1" applyFill="1" applyBorder="1" applyAlignment="1">
      <alignment horizontal="right"/>
    </xf>
    <xf numFmtId="165" fontId="55" fillId="35" borderId="15" xfId="0" applyNumberFormat="1" applyFont="1" applyFill="1" applyBorder="1" applyAlignment="1">
      <alignment horizontal="center"/>
    </xf>
    <xf numFmtId="165" fontId="55" fillId="35" borderId="26" xfId="0" applyNumberFormat="1" applyFont="1" applyFill="1" applyBorder="1" applyAlignment="1">
      <alignment horizontal="center"/>
    </xf>
    <xf numFmtId="165" fontId="100" fillId="35" borderId="15" xfId="0" applyNumberFormat="1" applyFont="1" applyFill="1" applyBorder="1" applyAlignment="1">
      <alignment horizontal="right"/>
    </xf>
    <xf numFmtId="168" fontId="100" fillId="35" borderId="15" xfId="42" applyNumberFormat="1" applyFont="1" applyFill="1" applyBorder="1" applyAlignment="1">
      <alignment horizontal="right"/>
    </xf>
    <xf numFmtId="2" fontId="100" fillId="35" borderId="15" xfId="42" applyNumberFormat="1" applyFont="1" applyFill="1" applyBorder="1" applyAlignment="1">
      <alignment horizontal="right"/>
    </xf>
    <xf numFmtId="43" fontId="100" fillId="35" borderId="15" xfId="42" applyFont="1" applyFill="1" applyBorder="1" applyAlignment="1">
      <alignment horizontal="right"/>
    </xf>
    <xf numFmtId="4" fontId="100" fillId="35" borderId="15" xfId="42" applyNumberFormat="1" applyFont="1" applyFill="1" applyBorder="1" applyAlignment="1">
      <alignment horizontal="right"/>
    </xf>
    <xf numFmtId="0" fontId="100" fillId="35" borderId="15" xfId="0" applyFont="1" applyFill="1" applyBorder="1" applyAlignment="1">
      <alignment/>
    </xf>
    <xf numFmtId="43" fontId="100" fillId="35" borderId="15" xfId="0" applyNumberFormat="1" applyFont="1" applyFill="1" applyBorder="1" applyAlignment="1">
      <alignment/>
    </xf>
    <xf numFmtId="0" fontId="55" fillId="35" borderId="15" xfId="0" applyFont="1" applyFill="1" applyBorder="1" applyAlignment="1">
      <alignment horizontal="right"/>
    </xf>
    <xf numFmtId="166" fontId="55" fillId="35" borderId="15" xfId="0" applyNumberFormat="1" applyFont="1" applyFill="1" applyBorder="1" applyAlignment="1">
      <alignment/>
    </xf>
    <xf numFmtId="166" fontId="100" fillId="35" borderId="15" xfId="0" applyNumberFormat="1" applyFont="1" applyFill="1" applyBorder="1" applyAlignment="1">
      <alignment/>
    </xf>
    <xf numFmtId="173" fontId="100" fillId="35" borderId="15" xfId="0" applyNumberFormat="1" applyFont="1" applyFill="1" applyBorder="1" applyAlignment="1">
      <alignment/>
    </xf>
    <xf numFmtId="173" fontId="100" fillId="35" borderId="15" xfId="42" applyNumberFormat="1" applyFont="1" applyFill="1" applyBorder="1" applyAlignment="1">
      <alignment horizontal="right"/>
    </xf>
    <xf numFmtId="166" fontId="55" fillId="35" borderId="15" xfId="0" applyNumberFormat="1" applyFont="1" applyFill="1" applyBorder="1" applyAlignment="1">
      <alignment horizontal="center"/>
    </xf>
    <xf numFmtId="166" fontId="55" fillId="35" borderId="15" xfId="0" applyNumberFormat="1" applyFont="1" applyFill="1" applyBorder="1" applyAlignment="1">
      <alignment horizontal="right"/>
    </xf>
    <xf numFmtId="166" fontId="55" fillId="35" borderId="26" xfId="0" applyNumberFormat="1" applyFont="1" applyFill="1" applyBorder="1" applyAlignment="1">
      <alignment horizontal="right"/>
    </xf>
    <xf numFmtId="166" fontId="100" fillId="35" borderId="15" xfId="0" applyNumberFormat="1" applyFont="1" applyFill="1" applyBorder="1" applyAlignment="1">
      <alignment horizontal="right"/>
    </xf>
    <xf numFmtId="0" fontId="55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5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6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0" fillId="40" borderId="15" xfId="0" applyFont="1" applyFill="1" applyBorder="1" applyAlignment="1">
      <alignment/>
    </xf>
    <xf numFmtId="0" fontId="56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5" fillId="34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0" xfId="0" applyNumberFormat="1" applyFont="1" applyBorder="1" applyAlignment="1">
      <alignment/>
    </xf>
    <xf numFmtId="0" fontId="50" fillId="0" borderId="0" xfId="0" applyFont="1" applyAlignment="1">
      <alignment/>
    </xf>
    <xf numFmtId="2" fontId="1" fillId="0" borderId="0" xfId="0" applyNumberFormat="1" applyFont="1" applyAlignment="1">
      <alignment/>
    </xf>
    <xf numFmtId="0" fontId="53" fillId="0" borderId="0" xfId="0" applyFont="1" applyAlignment="1">
      <alignment/>
    </xf>
    <xf numFmtId="43" fontId="10" fillId="35" borderId="15" xfId="42" applyFont="1" applyFill="1" applyBorder="1" applyAlignment="1">
      <alignment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21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0" fontId="101" fillId="0" borderId="0" xfId="0" applyFont="1" applyAlignment="1">
      <alignment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26"/>
          <c:w val="0.93975"/>
          <c:h val="0.962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'S6'!$BT$4:$CG$4</c:f>
              <c:strCache>
                <c:ptCount val="13"/>
                <c:pt idx="0">
                  <c:v>39813</c:v>
                </c:pt>
                <c:pt idx="1">
                  <c:v>39844</c:v>
                </c:pt>
                <c:pt idx="2">
                  <c:v>39872</c:v>
                </c:pt>
                <c:pt idx="3">
                  <c:v>39903</c:v>
                </c:pt>
                <c:pt idx="4">
                  <c:v>39933</c:v>
                </c:pt>
                <c:pt idx="5">
                  <c:v>39964</c:v>
                </c:pt>
                <c:pt idx="6">
                  <c:v>39994</c:v>
                </c:pt>
                <c:pt idx="7">
                  <c:v>40025</c:v>
                </c:pt>
                <c:pt idx="8">
                  <c:v>40056</c:v>
                </c:pt>
                <c:pt idx="9">
                  <c:v>40086</c:v>
                </c:pt>
                <c:pt idx="10">
                  <c:v>40117</c:v>
                </c:pt>
                <c:pt idx="11">
                  <c:v>40147</c:v>
                </c:pt>
                <c:pt idx="12">
                  <c:v>40177</c:v>
                </c:pt>
              </c:strCache>
            </c:strRef>
          </c:cat>
          <c:val>
            <c:numRef>
              <c:f>'S6'!$BT$13:$CG$13</c:f>
              <c:numCache>
                <c:ptCount val="13"/>
                <c:pt idx="0">
                  <c:v>0.10054697554697554</c:v>
                </c:pt>
                <c:pt idx="1">
                  <c:v>0.1010407194099222</c:v>
                </c:pt>
                <c:pt idx="2">
                  <c:v>0.09994003597841294</c:v>
                </c:pt>
                <c:pt idx="3">
                  <c:v>0.1000680462714646</c:v>
                </c:pt>
                <c:pt idx="4">
                  <c:v>0.11088933244621867</c:v>
                </c:pt>
                <c:pt idx="5">
                  <c:v>0.11944149158534693</c:v>
                </c:pt>
                <c:pt idx="6">
                  <c:v>0.12419583198787848</c:v>
                </c:pt>
                <c:pt idx="7">
                  <c:v>0.12576559807830168</c:v>
                </c:pt>
                <c:pt idx="8">
                  <c:v>0.12592079581942958</c:v>
                </c:pt>
                <c:pt idx="9">
                  <c:v>0.1329168605037549</c:v>
                </c:pt>
                <c:pt idx="10">
                  <c:v>0.1329168605037549</c:v>
                </c:pt>
                <c:pt idx="11">
                  <c:v>0.1329168605037549</c:v>
                </c:pt>
                <c:pt idx="12">
                  <c:v>0.1335</c:v>
                </c:pt>
              </c:numCache>
            </c:numRef>
          </c:val>
          <c:smooth val="1"/>
        </c:ser>
        <c:marker val="1"/>
        <c:axId val="54899584"/>
        <c:axId val="24334209"/>
      </c:lineChart>
      <c:dateAx>
        <c:axId val="54899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4334209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4334209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9584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8</xdr:row>
      <xdr:rowOff>180975</xdr:rowOff>
    </xdr:from>
    <xdr:to>
      <xdr:col>18</xdr:col>
      <xdr:colOff>257175</xdr:colOff>
      <xdr:row>30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685925"/>
          <a:ext cx="101917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9525</xdr:rowOff>
    </xdr:from>
    <xdr:to>
      <xdr:col>18</xdr:col>
      <xdr:colOff>228600</xdr:colOff>
      <xdr:row>57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6667500"/>
          <a:ext cx="10134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4</xdr:row>
      <xdr:rowOff>152400</xdr:rowOff>
    </xdr:from>
    <xdr:to>
      <xdr:col>15</xdr:col>
      <xdr:colOff>504825</xdr:colOff>
      <xdr:row>31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09625"/>
          <a:ext cx="91630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104775</xdr:rowOff>
    </xdr:from>
    <xdr:to>
      <xdr:col>16</xdr:col>
      <xdr:colOff>57150</xdr:colOff>
      <xdr:row>67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134100"/>
          <a:ext cx="92011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85725</xdr:rowOff>
    </xdr:from>
    <xdr:to>
      <xdr:col>13</xdr:col>
      <xdr:colOff>123825</xdr:colOff>
      <xdr:row>21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95350"/>
          <a:ext cx="74390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46</xdr:row>
      <xdr:rowOff>19050</xdr:rowOff>
    </xdr:from>
    <xdr:to>
      <xdr:col>13</xdr:col>
      <xdr:colOff>238125</xdr:colOff>
      <xdr:row>65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782050"/>
          <a:ext cx="75533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76200</xdr:rowOff>
    </xdr:from>
    <xdr:to>
      <xdr:col>13</xdr:col>
      <xdr:colOff>104775</xdr:colOff>
      <xdr:row>41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953000"/>
          <a:ext cx="74199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161925</xdr:rowOff>
    </xdr:from>
    <xdr:to>
      <xdr:col>12</xdr:col>
      <xdr:colOff>447675</xdr:colOff>
      <xdr:row>50</xdr:row>
      <xdr:rowOff>133350</xdr:rowOff>
    </xdr:to>
    <xdr:graphicFrame>
      <xdr:nvGraphicFramePr>
        <xdr:cNvPr id="1" name="Chart 9"/>
        <xdr:cNvGraphicFramePr/>
      </xdr:nvGraphicFramePr>
      <xdr:xfrm>
        <a:off x="180975" y="5153025"/>
        <a:ext cx="7553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5</xdr:row>
      <xdr:rowOff>47625</xdr:rowOff>
    </xdr:from>
    <xdr:to>
      <xdr:col>12</xdr:col>
      <xdr:colOff>590550</xdr:colOff>
      <xdr:row>24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23925"/>
          <a:ext cx="7677150" cy="3048000"/>
        </a:xfrm>
        <a:prstGeom prst="rect">
          <a:avLst/>
        </a:prstGeom>
        <a:solidFill>
          <a:srgbClr val="FFFFCC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0">
      <selection activeCell="H16" sqref="H16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100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1"/>
    </row>
    <row r="11" ht="40.5">
      <c r="A11" s="27"/>
    </row>
    <row r="12" ht="40.5">
      <c r="A12" s="27"/>
    </row>
    <row r="13" ht="40.5">
      <c r="A13" s="27" t="s">
        <v>44</v>
      </c>
    </row>
    <row r="14" ht="40.5">
      <c r="A14" s="27"/>
    </row>
    <row r="15" ht="40.5">
      <c r="A15" s="27" t="s">
        <v>45</v>
      </c>
    </row>
    <row r="16" ht="40.5">
      <c r="A16" s="27"/>
    </row>
    <row r="17" ht="40.5">
      <c r="A17" s="27" t="s">
        <v>46</v>
      </c>
    </row>
    <row r="18" ht="40.5">
      <c r="A18" s="27"/>
    </row>
    <row r="19" ht="40.5">
      <c r="A19" s="29">
        <v>40175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32">
      <selection activeCell="B1" sqref="B1:L59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7.00390625" style="0" customWidth="1"/>
    <col min="10" max="10" width="7.421875" style="0" customWidth="1"/>
    <col min="11" max="11" width="9.140625" style="0" hidden="1" customWidth="1"/>
    <col min="12" max="12" width="9.7109375" style="0" bestFit="1" customWidth="1"/>
  </cols>
  <sheetData>
    <row r="2" spans="2:12" ht="11.25">
      <c r="B2" s="278" t="s">
        <v>75</v>
      </c>
      <c r="C2" s="279"/>
      <c r="D2" s="279"/>
      <c r="E2" s="279"/>
      <c r="F2" s="279"/>
      <c r="G2" s="279"/>
      <c r="H2" s="279"/>
      <c r="I2" s="279"/>
      <c r="J2" s="279"/>
      <c r="K2" s="279"/>
      <c r="L2" s="208"/>
    </row>
    <row r="3" spans="2:12" ht="11.25">
      <c r="B3" s="283" t="s">
        <v>116</v>
      </c>
      <c r="C3" s="283"/>
      <c r="D3" s="283"/>
      <c r="E3" s="283"/>
      <c r="F3" s="283"/>
      <c r="G3" s="283"/>
      <c r="H3" s="283"/>
      <c r="I3" s="283"/>
      <c r="J3" s="283"/>
      <c r="K3" s="283"/>
      <c r="L3" s="211"/>
    </row>
    <row r="4" spans="2:12" ht="11.25">
      <c r="B4" s="70"/>
      <c r="C4" s="22"/>
      <c r="D4" s="22"/>
      <c r="E4" s="22"/>
      <c r="F4" s="280" t="s">
        <v>107</v>
      </c>
      <c r="G4" s="281"/>
      <c r="H4" s="129" t="s">
        <v>127</v>
      </c>
      <c r="I4" s="280" t="s">
        <v>164</v>
      </c>
      <c r="J4" s="282"/>
      <c r="K4" s="281"/>
      <c r="L4" s="211" t="s">
        <v>165</v>
      </c>
    </row>
    <row r="5" spans="2:12" ht="11.25">
      <c r="B5" s="71"/>
      <c r="C5" s="12">
        <v>39783</v>
      </c>
      <c r="D5" s="12">
        <v>40143</v>
      </c>
      <c r="E5" s="12">
        <v>40173</v>
      </c>
      <c r="F5" s="12" t="s">
        <v>158</v>
      </c>
      <c r="G5" s="59" t="s">
        <v>159</v>
      </c>
      <c r="H5" s="59" t="s">
        <v>158</v>
      </c>
      <c r="I5" s="12">
        <v>40087</v>
      </c>
      <c r="J5" s="12">
        <v>40118</v>
      </c>
      <c r="K5" s="12">
        <v>40118</v>
      </c>
      <c r="L5" s="12">
        <v>40148</v>
      </c>
    </row>
    <row r="6" spans="2:12" ht="11.25">
      <c r="B6" s="72"/>
      <c r="C6" s="139"/>
      <c r="D6" s="139"/>
      <c r="E6" s="139"/>
      <c r="F6" s="140"/>
      <c r="G6" s="140"/>
      <c r="H6" s="140"/>
      <c r="I6" s="136"/>
      <c r="J6" s="136"/>
      <c r="K6" s="136"/>
      <c r="L6" s="136"/>
    </row>
    <row r="7" spans="2:14" ht="11.25">
      <c r="B7" s="73" t="s">
        <v>1</v>
      </c>
      <c r="C7" s="134">
        <v>13584.190233485995</v>
      </c>
      <c r="D7" s="134">
        <v>15857.825229660928</v>
      </c>
      <c r="E7" s="134">
        <v>15357.345671020525</v>
      </c>
      <c r="F7" s="134">
        <v>-500.4795586404034</v>
      </c>
      <c r="G7" s="134">
        <v>1773.1554375345295</v>
      </c>
      <c r="H7" s="134">
        <v>-3.156041584468293</v>
      </c>
      <c r="I7" s="134">
        <v>8.76534041406154</v>
      </c>
      <c r="J7" s="134">
        <v>1.1833562210193271</v>
      </c>
      <c r="K7" s="134">
        <v>1.1833562210193271</v>
      </c>
      <c r="L7" s="134">
        <v>13.053081612208107</v>
      </c>
      <c r="N7" s="54"/>
    </row>
    <row r="8" spans="2:12" ht="11.25">
      <c r="B8" s="73" t="s">
        <v>72</v>
      </c>
      <c r="C8" s="134">
        <v>31935.00758905311</v>
      </c>
      <c r="D8" s="134">
        <v>33554.682270703306</v>
      </c>
      <c r="E8" s="134">
        <v>34041.48384054</v>
      </c>
      <c r="F8" s="142">
        <v>486.8015698366944</v>
      </c>
      <c r="G8" s="142">
        <v>2106.476251486889</v>
      </c>
      <c r="H8" s="134">
        <v>1.4507709115211094</v>
      </c>
      <c r="I8" s="134">
        <v>6.424345224995753</v>
      </c>
      <c r="J8" s="134">
        <v>8.555112861539293</v>
      </c>
      <c r="K8" s="134">
        <v>8.552900761700478</v>
      </c>
      <c r="L8" s="134">
        <v>6.596135121035518</v>
      </c>
    </row>
    <row r="9" spans="2:12" ht="11.25">
      <c r="B9" s="75" t="s">
        <v>137</v>
      </c>
      <c r="C9" s="135">
        <v>-4643.033708146894</v>
      </c>
      <c r="D9" s="135">
        <v>-6220.624849756694</v>
      </c>
      <c r="E9" s="135">
        <v>-5846.128148759998</v>
      </c>
      <c r="F9" s="138">
        <v>374.49670099669584</v>
      </c>
      <c r="G9" s="138">
        <v>-1203.0944406131039</v>
      </c>
      <c r="H9" s="135">
        <v>-6.020242500419286</v>
      </c>
      <c r="I9" s="135">
        <v>28.688474775238525</v>
      </c>
      <c r="J9" s="135">
        <v>30.859329927851654</v>
      </c>
      <c r="K9" s="135">
        <v>30.913444373483312</v>
      </c>
      <c r="L9" s="135">
        <v>25.911817924175207</v>
      </c>
    </row>
    <row r="10" spans="2:12" ht="11.25">
      <c r="B10" s="75" t="s">
        <v>135</v>
      </c>
      <c r="C10" s="135">
        <v>36578.041297200005</v>
      </c>
      <c r="D10" s="135">
        <v>39775.30712046</v>
      </c>
      <c r="E10" s="135">
        <v>39887.6119893</v>
      </c>
      <c r="F10" s="138">
        <v>112.30486884000129</v>
      </c>
      <c r="G10" s="138">
        <v>3309.5706920999946</v>
      </c>
      <c r="H10" s="135">
        <v>0.2823482129248798</v>
      </c>
      <c r="I10" s="135">
        <v>10.080683177912775</v>
      </c>
      <c r="J10" s="135">
        <v>11.52805803646524</v>
      </c>
      <c r="K10" s="135">
        <v>11.533353742485698</v>
      </c>
      <c r="L10" s="135">
        <v>9.047971336708338</v>
      </c>
    </row>
    <row r="11" spans="2:12" ht="11.25">
      <c r="B11" s="76" t="s">
        <v>47</v>
      </c>
      <c r="C11" s="135">
        <v>2576.1937020399996</v>
      </c>
      <c r="D11" s="135">
        <v>2999.40260148</v>
      </c>
      <c r="E11" s="135">
        <v>2724.6914796</v>
      </c>
      <c r="F11" s="138">
        <v>-274.71112188000006</v>
      </c>
      <c r="G11" s="138">
        <v>148.4977775600005</v>
      </c>
      <c r="H11" s="135">
        <v>-9.15886122604711</v>
      </c>
      <c r="I11" s="135">
        <v>8.721595475055445</v>
      </c>
      <c r="J11" s="135">
        <v>23.058243469326257</v>
      </c>
      <c r="K11" s="135">
        <v>23.058243469326257</v>
      </c>
      <c r="L11" s="135">
        <v>5.76423183716388</v>
      </c>
    </row>
    <row r="12" spans="2:12" ht="11.25">
      <c r="B12" s="76" t="s">
        <v>136</v>
      </c>
      <c r="C12" s="135">
        <v>82.30278584</v>
      </c>
      <c r="D12" s="135">
        <v>83.82071169</v>
      </c>
      <c r="E12" s="135">
        <v>86.34673572</v>
      </c>
      <c r="F12" s="138">
        <v>2.526024030000002</v>
      </c>
      <c r="G12" s="138">
        <v>4.0439498799999996</v>
      </c>
      <c r="H12" s="135">
        <v>3.0136036536437123</v>
      </c>
      <c r="I12" s="135">
        <v>4.446930728826715</v>
      </c>
      <c r="J12" s="135">
        <v>-3.755077213287372</v>
      </c>
      <c r="K12" s="135">
        <v>-3.755077213287372</v>
      </c>
      <c r="L12" s="135">
        <v>4.913503034832378</v>
      </c>
    </row>
    <row r="13" spans="2:12" ht="11.25">
      <c r="B13" s="76" t="s">
        <v>138</v>
      </c>
      <c r="C13" s="135">
        <v>655.1053305300001</v>
      </c>
      <c r="D13" s="135">
        <v>589.91032492</v>
      </c>
      <c r="E13" s="135">
        <v>499.01117109</v>
      </c>
      <c r="F13" s="138">
        <v>-90.89915382999999</v>
      </c>
      <c r="G13" s="138">
        <v>-156.09415944000006</v>
      </c>
      <c r="H13" s="135">
        <v>-15.408978278576013</v>
      </c>
      <c r="I13" s="135">
        <v>20.90136702157701</v>
      </c>
      <c r="J13" s="135">
        <v>25.579995621040673</v>
      </c>
      <c r="K13" s="135">
        <v>25.579995621040673</v>
      </c>
      <c r="L13" s="135">
        <v>-23.82733770670361</v>
      </c>
    </row>
    <row r="14" spans="2:12" ht="11.25">
      <c r="B14" s="76" t="s">
        <v>139</v>
      </c>
      <c r="C14" s="135">
        <v>11229.18419398</v>
      </c>
      <c r="D14" s="135">
        <v>12995.39461034</v>
      </c>
      <c r="E14" s="135">
        <v>13248.06166744</v>
      </c>
      <c r="F14" s="138">
        <v>252.66705710000133</v>
      </c>
      <c r="G14" s="138">
        <v>2018.877473460001</v>
      </c>
      <c r="H14" s="135">
        <v>1.9442815295424936</v>
      </c>
      <c r="I14" s="135">
        <v>15.459493034585181</v>
      </c>
      <c r="J14" s="135">
        <v>18.574093806686022</v>
      </c>
      <c r="K14" s="135">
        <v>18.574093806686022</v>
      </c>
      <c r="L14" s="135">
        <v>17.978843686100788</v>
      </c>
    </row>
    <row r="15" spans="2:14" ht="11.25">
      <c r="B15" s="76" t="s">
        <v>48</v>
      </c>
      <c r="C15" s="135">
        <v>22030.402284810007</v>
      </c>
      <c r="D15" s="135">
        <v>23101.403872029994</v>
      </c>
      <c r="E15" s="135">
        <v>23327.125935450003</v>
      </c>
      <c r="F15" s="138">
        <v>225.72206342000936</v>
      </c>
      <c r="G15" s="138">
        <v>1296.7236506399968</v>
      </c>
      <c r="H15" s="135">
        <v>0.9770924081947339</v>
      </c>
      <c r="I15" s="135">
        <v>7.259514493901098</v>
      </c>
      <c r="J15" s="135">
        <v>6.432850342392582</v>
      </c>
      <c r="K15" s="135">
        <v>6.441551771573928</v>
      </c>
      <c r="L15" s="135">
        <v>5.8860643299922355</v>
      </c>
      <c r="M15" s="51"/>
      <c r="N15" s="54"/>
    </row>
    <row r="16" spans="2:14" ht="11.25">
      <c r="B16" s="76" t="s">
        <v>134</v>
      </c>
      <c r="C16" s="135">
        <v>4.853</v>
      </c>
      <c r="D16" s="135">
        <v>5.375</v>
      </c>
      <c r="E16" s="135">
        <v>2.375</v>
      </c>
      <c r="F16" s="138">
        <v>-3</v>
      </c>
      <c r="G16" s="138">
        <v>-2.4779999999999998</v>
      </c>
      <c r="H16" s="135">
        <v>-55.81395348837209</v>
      </c>
      <c r="I16" s="135">
        <v>10.756233257778703</v>
      </c>
      <c r="J16" s="135">
        <v>10.756233257778703</v>
      </c>
      <c r="K16" s="135">
        <v>10.756233257778703</v>
      </c>
      <c r="L16" s="135">
        <v>-51.06119925819081</v>
      </c>
      <c r="M16" s="51"/>
      <c r="N16" s="54"/>
    </row>
    <row r="17" spans="2:12" ht="11.25">
      <c r="B17" s="73" t="s">
        <v>42</v>
      </c>
      <c r="C17" s="134">
        <v>-16278.364021185336</v>
      </c>
      <c r="D17" s="134">
        <v>-18928.452932246902</v>
      </c>
      <c r="E17" s="134">
        <v>-18430.60387685272</v>
      </c>
      <c r="F17" s="142">
        <v>497.84905539418105</v>
      </c>
      <c r="G17" s="142">
        <v>-2152.239855667385</v>
      </c>
      <c r="H17" s="134">
        <v>-2.630162418324401</v>
      </c>
      <c r="I17" s="134">
        <v>11.38192562157605</v>
      </c>
      <c r="J17" s="134">
        <v>12.220029303215906</v>
      </c>
      <c r="K17" s="134">
        <v>12.218343082469318</v>
      </c>
      <c r="L17" s="134">
        <v>13.221475160933682</v>
      </c>
    </row>
    <row r="18" spans="2:12" ht="12" thickBot="1">
      <c r="B18" s="77" t="s">
        <v>49</v>
      </c>
      <c r="C18" s="137">
        <v>29240.833801353772</v>
      </c>
      <c r="D18" s="137">
        <v>30484.05456811733</v>
      </c>
      <c r="E18" s="137">
        <v>30968.225634707807</v>
      </c>
      <c r="F18" s="141">
        <v>484.1710665904757</v>
      </c>
      <c r="G18" s="141">
        <v>1727.391833354035</v>
      </c>
      <c r="H18" s="137">
        <v>1.5882764725689102</v>
      </c>
      <c r="I18" s="137">
        <v>4.853790539212244</v>
      </c>
      <c r="J18" s="137">
        <v>2.58693853356069</v>
      </c>
      <c r="K18" s="137">
        <v>2.5855745421513365</v>
      </c>
      <c r="L18" s="137">
        <v>5.907405117649178</v>
      </c>
    </row>
    <row r="19" spans="2:13" ht="11.25">
      <c r="B19" s="130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8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8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79" t="s">
        <v>131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08"/>
    </row>
    <row r="23" spans="2:12" ht="11.25">
      <c r="B23" s="284" t="s">
        <v>115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11"/>
    </row>
    <row r="24" spans="2:12" ht="11.25">
      <c r="B24" s="70"/>
      <c r="C24" s="22"/>
      <c r="D24" s="22"/>
      <c r="E24" s="22"/>
      <c r="F24" s="285" t="s">
        <v>107</v>
      </c>
      <c r="G24" s="286"/>
      <c r="H24" s="129" t="s">
        <v>126</v>
      </c>
      <c r="I24" s="285" t="s">
        <v>164</v>
      </c>
      <c r="J24" s="287"/>
      <c r="K24" s="288"/>
      <c r="L24" s="210" t="s">
        <v>165</v>
      </c>
    </row>
    <row r="25" spans="2:12" ht="11.25">
      <c r="B25" s="71"/>
      <c r="C25" s="12">
        <f>C5</f>
        <v>39783</v>
      </c>
      <c r="D25" s="12">
        <f>D5</f>
        <v>40143</v>
      </c>
      <c r="E25" s="12">
        <f>E5</f>
        <v>40173</v>
      </c>
      <c r="F25" s="12" t="s">
        <v>110</v>
      </c>
      <c r="G25" s="59" t="s">
        <v>109</v>
      </c>
      <c r="H25" s="59" t="s">
        <v>129</v>
      </c>
      <c r="I25" s="12">
        <v>40087</v>
      </c>
      <c r="J25" s="12">
        <v>40118</v>
      </c>
      <c r="K25" s="12">
        <f>K5</f>
        <v>40118</v>
      </c>
      <c r="L25" s="12">
        <v>40148</v>
      </c>
    </row>
    <row r="26" spans="2:12" ht="11.25">
      <c r="B26" s="79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11.25">
      <c r="B27" s="73" t="s">
        <v>49</v>
      </c>
      <c r="C27" s="151">
        <v>29240.819831100216</v>
      </c>
      <c r="D27" s="151">
        <v>30484.06180360986</v>
      </c>
      <c r="E27" s="151">
        <v>30968.193518245203</v>
      </c>
      <c r="F27" s="151">
        <v>484.1317146353431</v>
      </c>
      <c r="G27" s="151">
        <v>1727.3736871449873</v>
      </c>
      <c r="H27" s="151">
        <v>1.5881470053246423</v>
      </c>
      <c r="I27" s="151">
        <v>4.853790539212244</v>
      </c>
      <c r="J27" s="151">
        <v>2.58693853356069</v>
      </c>
      <c r="K27" s="151">
        <v>5.907405117649178</v>
      </c>
      <c r="L27" s="151">
        <v>5.907405117649178</v>
      </c>
    </row>
    <row r="28" spans="2:12" ht="11.25">
      <c r="B28" s="75" t="s">
        <v>50</v>
      </c>
      <c r="C28" s="152">
        <v>1140.4369614112102</v>
      </c>
      <c r="D28" s="152">
        <v>1204.4013276126002</v>
      </c>
      <c r="E28" s="152">
        <v>1156.68174032</v>
      </c>
      <c r="F28" s="152">
        <v>-47.71958729260018</v>
      </c>
      <c r="G28" s="152">
        <v>16.24477890878984</v>
      </c>
      <c r="H28" s="152">
        <v>-3.962100190240686</v>
      </c>
      <c r="I28" s="152">
        <v>-7.196092973960033</v>
      </c>
      <c r="J28" s="152">
        <v>-1.3603447196306684</v>
      </c>
      <c r="K28" s="152">
        <v>1.4244346209796754</v>
      </c>
      <c r="L28" s="152">
        <v>1.4244346209796754</v>
      </c>
    </row>
    <row r="29" spans="2:12" ht="11.25">
      <c r="B29" s="75" t="s">
        <v>51</v>
      </c>
      <c r="C29" s="152">
        <v>17430.126347991903</v>
      </c>
      <c r="D29" s="152">
        <v>19623.126894145207</v>
      </c>
      <c r="E29" s="152">
        <v>19739.894191465206</v>
      </c>
      <c r="F29" s="152">
        <v>116.76729731999876</v>
      </c>
      <c r="G29" s="152">
        <v>2309.7678434733025</v>
      </c>
      <c r="H29" s="152">
        <v>0.5950493922293173</v>
      </c>
      <c r="I29" s="152">
        <v>19.244893473503332</v>
      </c>
      <c r="J29" s="152">
        <v>13.58767688067719</v>
      </c>
      <c r="K29" s="152">
        <v>13.251584052570031</v>
      </c>
      <c r="L29" s="152">
        <v>13.251584052570031</v>
      </c>
    </row>
    <row r="30" spans="2:12" ht="11.25">
      <c r="B30" s="75" t="s">
        <v>52</v>
      </c>
      <c r="C30" s="152">
        <v>10666.35556345274</v>
      </c>
      <c r="D30" s="152">
        <v>9652.595999432055</v>
      </c>
      <c r="E30" s="152">
        <v>10067.68000404</v>
      </c>
      <c r="F30" s="152">
        <v>415.08400460794473</v>
      </c>
      <c r="G30" s="152">
        <v>-598.6755594127408</v>
      </c>
      <c r="H30" s="152">
        <v>4.3002318198375615</v>
      </c>
      <c r="I30" s="152">
        <v>-14.295192085784347</v>
      </c>
      <c r="J30" s="152">
        <v>-13.928680554624984</v>
      </c>
      <c r="K30" s="152">
        <v>8.503377718306893</v>
      </c>
      <c r="L30" s="152">
        <v>8.503377718306893</v>
      </c>
    </row>
    <row r="31" spans="2:12" ht="12" thickBot="1">
      <c r="B31" s="80" t="s">
        <v>105</v>
      </c>
      <c r="C31" s="175">
        <v>3.9009582443606554</v>
      </c>
      <c r="D31" s="175">
        <v>3.9375824199999996</v>
      </c>
      <c r="E31" s="175">
        <v>3.9375824199999996</v>
      </c>
      <c r="F31" s="175">
        <v>0</v>
      </c>
      <c r="G31" s="175">
        <v>0.03662417563934417</v>
      </c>
      <c r="H31" s="175">
        <v>0</v>
      </c>
      <c r="I31" s="175">
        <v>0.16996878752246758</v>
      </c>
      <c r="J31" s="175">
        <v>0.16996878752246758</v>
      </c>
      <c r="K31" s="175">
        <v>-3.7267562807008825</v>
      </c>
      <c r="L31" s="175">
        <v>-3.7267562807008825</v>
      </c>
    </row>
    <row r="32" spans="2:11" ht="11.25">
      <c r="B32" s="42"/>
      <c r="C32" s="60"/>
      <c r="D32" s="60"/>
      <c r="E32" s="60"/>
      <c r="F32" s="60"/>
      <c r="G32" s="60"/>
      <c r="H32" s="60"/>
      <c r="I32" s="60"/>
      <c r="J32" s="60"/>
      <c r="K32" s="6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8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78" t="s">
        <v>131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08"/>
    </row>
    <row r="36" spans="2:12" ht="11.25">
      <c r="B36" s="284" t="s">
        <v>122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11"/>
    </row>
    <row r="37" spans="2:12" ht="11.25">
      <c r="B37" s="70"/>
      <c r="C37" s="22"/>
      <c r="D37" s="22"/>
      <c r="E37" s="22"/>
      <c r="F37" s="285" t="s">
        <v>107</v>
      </c>
      <c r="G37" s="286"/>
      <c r="H37" s="129" t="s">
        <v>127</v>
      </c>
      <c r="I37" s="285" t="s">
        <v>164</v>
      </c>
      <c r="J37" s="287"/>
      <c r="K37" s="288"/>
      <c r="L37" s="209" t="s">
        <v>165</v>
      </c>
    </row>
    <row r="38" spans="2:12" ht="11.25">
      <c r="B38" s="71"/>
      <c r="C38" s="12">
        <f>C25</f>
        <v>39783</v>
      </c>
      <c r="D38" s="12">
        <f>D25</f>
        <v>40143</v>
      </c>
      <c r="E38" s="12">
        <f>E25</f>
        <v>40173</v>
      </c>
      <c r="F38" s="12" t="s">
        <v>110</v>
      </c>
      <c r="G38" s="59" t="s">
        <v>109</v>
      </c>
      <c r="H38" s="59" t="s">
        <v>129</v>
      </c>
      <c r="I38" s="12">
        <f>I25</f>
        <v>40087</v>
      </c>
      <c r="J38" s="12">
        <f>J25</f>
        <v>40118</v>
      </c>
      <c r="K38" s="12">
        <f>K25</f>
        <v>40118</v>
      </c>
      <c r="L38" s="12">
        <v>40148</v>
      </c>
    </row>
    <row r="39" spans="2:12" ht="11.25">
      <c r="B39" s="81"/>
      <c r="C39" s="36"/>
      <c r="D39" s="86"/>
      <c r="E39" s="86"/>
      <c r="F39" s="36"/>
      <c r="G39" s="37"/>
      <c r="H39" s="37"/>
      <c r="I39" s="37"/>
      <c r="J39" s="37"/>
      <c r="K39" s="37"/>
      <c r="L39" s="37"/>
    </row>
    <row r="40" spans="2:12" ht="11.25">
      <c r="B40" s="82" t="s">
        <v>140</v>
      </c>
      <c r="C40" s="153">
        <v>33163.42013603001</v>
      </c>
      <c r="D40" s="153">
        <v>36096.79020103999</v>
      </c>
      <c r="E40" s="153">
        <v>36507.46477232</v>
      </c>
      <c r="F40" s="153">
        <v>410.74</v>
      </c>
      <c r="G40" s="153">
        <v>3344.0446362899966</v>
      </c>
      <c r="H40" s="153">
        <v>1.1377038484385216</v>
      </c>
      <c r="I40" s="153">
        <v>9.952650306831657</v>
      </c>
      <c r="J40" s="153">
        <v>10.939457427872279</v>
      </c>
      <c r="K40" s="153">
        <v>10.294121844844817</v>
      </c>
      <c r="L40" s="153">
        <v>10.08353367226107</v>
      </c>
    </row>
    <row r="41" spans="2:12" ht="11.25">
      <c r="B41" s="190" t="s">
        <v>47</v>
      </c>
      <c r="C41" s="191">
        <v>323.93098604</v>
      </c>
      <c r="D41" s="191">
        <v>690.88915296</v>
      </c>
      <c r="E41" s="191">
        <v>570.6734333500001</v>
      </c>
      <c r="F41" s="191">
        <v>-120.21571960999995</v>
      </c>
      <c r="G41" s="191">
        <v>246.7424473100001</v>
      </c>
      <c r="H41" s="191">
        <v>-17.400145753476608</v>
      </c>
      <c r="I41" s="191">
        <v>9.952650306831657</v>
      </c>
      <c r="J41" s="191">
        <v>10.939457427872279</v>
      </c>
      <c r="K41" s="191">
        <v>9.952650306831657</v>
      </c>
      <c r="L41" s="191">
        <v>10.08353367226107</v>
      </c>
    </row>
    <row r="42" spans="2:12" ht="11.25">
      <c r="B42" s="83" t="s">
        <v>141</v>
      </c>
      <c r="C42" s="169">
        <v>11209.957950130001</v>
      </c>
      <c r="D42" s="169">
        <v>12957.82217048</v>
      </c>
      <c r="E42" s="169">
        <v>13155.32504759</v>
      </c>
      <c r="F42" s="169">
        <v>197.50287711000055</v>
      </c>
      <c r="G42" s="169">
        <v>1945.367097459999</v>
      </c>
      <c r="H42" s="169">
        <v>1.5241980829150739</v>
      </c>
      <c r="I42" s="169">
        <v>15.365031426511244</v>
      </c>
      <c r="J42" s="169">
        <v>18.410111505916404</v>
      </c>
      <c r="K42" s="169">
        <v>15.365031426511244</v>
      </c>
      <c r="L42" s="169">
        <v>17.353919667802487</v>
      </c>
    </row>
    <row r="43" spans="2:12" ht="11.25">
      <c r="B43" s="84" t="s">
        <v>82</v>
      </c>
      <c r="C43" s="155">
        <v>8399.88434574</v>
      </c>
      <c r="D43" s="155">
        <v>9949.28193172</v>
      </c>
      <c r="E43" s="155">
        <v>10109.66372714</v>
      </c>
      <c r="F43" s="154">
        <v>160.38179542000034</v>
      </c>
      <c r="G43" s="154">
        <v>1709.7793813999997</v>
      </c>
      <c r="H43" s="154">
        <v>1.6119936747261727</v>
      </c>
      <c r="I43" s="154">
        <v>16.838106096835315</v>
      </c>
      <c r="J43" s="154">
        <v>20.7759131524043</v>
      </c>
      <c r="K43" s="154">
        <v>16.838106096835315</v>
      </c>
      <c r="L43" s="154">
        <v>20.35479669749398</v>
      </c>
    </row>
    <row r="44" spans="2:12" ht="11.25">
      <c r="B44" s="85" t="s">
        <v>83</v>
      </c>
      <c r="C44" s="156">
        <v>2572.26193702</v>
      </c>
      <c r="D44" s="156">
        <v>2993.02313057</v>
      </c>
      <c r="E44" s="156">
        <v>3060.7681606700003</v>
      </c>
      <c r="F44" s="154">
        <v>67.74503010000035</v>
      </c>
      <c r="G44" s="154">
        <v>488.50622365000027</v>
      </c>
      <c r="H44" s="154">
        <v>2.2634315588165466</v>
      </c>
      <c r="I44" s="154">
        <v>17.93207008693298</v>
      </c>
      <c r="J44" s="154">
        <v>16.794780417572852</v>
      </c>
      <c r="K44" s="154">
        <v>17.93207008693298</v>
      </c>
      <c r="L44" s="154">
        <v>18.991309423796142</v>
      </c>
    </row>
    <row r="45" spans="2:12" ht="11.25">
      <c r="B45" s="85" t="s">
        <v>84</v>
      </c>
      <c r="C45" s="156">
        <v>1632.7626389099999</v>
      </c>
      <c r="D45" s="156">
        <v>2029.58029813</v>
      </c>
      <c r="E45" s="156">
        <v>1945.6540637</v>
      </c>
      <c r="F45" s="154">
        <v>-83.92623443000002</v>
      </c>
      <c r="G45" s="154">
        <v>312.8914247900002</v>
      </c>
      <c r="H45" s="154">
        <v>-4.13515220399643</v>
      </c>
      <c r="I45" s="154">
        <v>19.08759941840017</v>
      </c>
      <c r="J45" s="154">
        <v>23.325282176216056</v>
      </c>
      <c r="K45" s="154">
        <v>19.08759941840017</v>
      </c>
      <c r="L45" s="154">
        <v>19.163313597062736</v>
      </c>
    </row>
    <row r="46" spans="2:12" ht="11.25">
      <c r="B46" s="85" t="s">
        <v>85</v>
      </c>
      <c r="C46" s="156">
        <v>4194.85976981</v>
      </c>
      <c r="D46" s="156">
        <v>4926.67850302</v>
      </c>
      <c r="E46" s="156">
        <v>5103.24150277</v>
      </c>
      <c r="F46" s="154">
        <v>176.56299975000002</v>
      </c>
      <c r="G46" s="154">
        <v>908.3817329599997</v>
      </c>
      <c r="H46" s="154">
        <v>3.583814118209029</v>
      </c>
      <c r="I46" s="154">
        <v>15.203836933493498</v>
      </c>
      <c r="J46" s="154">
        <v>22.26660020266078</v>
      </c>
      <c r="K46" s="154">
        <v>15.203836933493498</v>
      </c>
      <c r="L46" s="154">
        <v>21.654638839122462</v>
      </c>
    </row>
    <row r="47" spans="2:12" ht="11.25">
      <c r="B47" s="84" t="s">
        <v>86</v>
      </c>
      <c r="C47" s="156">
        <v>1796.24224477</v>
      </c>
      <c r="D47" s="156">
        <v>1937.7410096500003</v>
      </c>
      <c r="E47" s="156">
        <v>1973.68537898</v>
      </c>
      <c r="F47" s="154">
        <v>35.944369329999745</v>
      </c>
      <c r="G47" s="154">
        <v>177.44313420999993</v>
      </c>
      <c r="H47" s="154">
        <v>1.8549625131013825</v>
      </c>
      <c r="I47" s="154">
        <v>16.498714831869464</v>
      </c>
      <c r="J47" s="154">
        <v>11.401303370100146</v>
      </c>
      <c r="K47" s="154">
        <v>16.498714831869464</v>
      </c>
      <c r="L47" s="154">
        <v>9.878574826232335</v>
      </c>
    </row>
    <row r="48" spans="2:12" ht="11.25">
      <c r="B48" s="84" t="s">
        <v>87</v>
      </c>
      <c r="C48" s="156">
        <v>61.553286050000004</v>
      </c>
      <c r="D48" s="156">
        <v>63.07872794</v>
      </c>
      <c r="E48" s="156">
        <v>68.24094128</v>
      </c>
      <c r="F48" s="154">
        <v>5.162213340000001</v>
      </c>
      <c r="G48" s="154">
        <v>6.687655229999997</v>
      </c>
      <c r="H48" s="154">
        <v>8.18376259094866</v>
      </c>
      <c r="I48" s="154">
        <v>8.646947679830586</v>
      </c>
      <c r="J48" s="154">
        <v>-0.6884132113830099</v>
      </c>
      <c r="K48" s="154">
        <v>8.646947679830586</v>
      </c>
      <c r="L48" s="154">
        <v>10.864822431360665</v>
      </c>
    </row>
    <row r="49" spans="2:12" ht="11.25">
      <c r="B49" s="84" t="s">
        <v>88</v>
      </c>
      <c r="C49" s="156">
        <v>952.2780735700001</v>
      </c>
      <c r="D49" s="156">
        <v>1007.72050117</v>
      </c>
      <c r="E49" s="156">
        <v>1003.7350001899999</v>
      </c>
      <c r="F49" s="154">
        <v>-3.985500980000097</v>
      </c>
      <c r="G49" s="154">
        <v>51.45692661999988</v>
      </c>
      <c r="H49" s="154">
        <v>-0.3954966655310462</v>
      </c>
      <c r="I49" s="154">
        <v>0.3342943606797766</v>
      </c>
      <c r="J49" s="154">
        <v>11.667577562833365</v>
      </c>
      <c r="K49" s="154">
        <v>0.3342943606797766</v>
      </c>
      <c r="L49" s="154">
        <v>5.4035610026273995</v>
      </c>
    </row>
    <row r="50" spans="2:13" ht="11.25">
      <c r="B50" s="83" t="s">
        <v>123</v>
      </c>
      <c r="C50" s="168">
        <v>21873.106185900004</v>
      </c>
      <c r="D50" s="168">
        <v>23040.734030559994</v>
      </c>
      <c r="E50" s="168">
        <v>23248.387724730004</v>
      </c>
      <c r="F50" s="169">
        <v>207.65369417001057</v>
      </c>
      <c r="G50" s="169">
        <v>1375.2815388300005</v>
      </c>
      <c r="H50" s="169">
        <v>0.901246001514491</v>
      </c>
      <c r="I50" s="169">
        <v>7.045165091216532</v>
      </c>
      <c r="J50" s="169">
        <v>7.040068652832776</v>
      </c>
      <c r="K50" s="169">
        <v>7.045165091216532</v>
      </c>
      <c r="L50" s="169">
        <v>6.287545660600058</v>
      </c>
      <c r="M50" s="49"/>
    </row>
    <row r="51" spans="2:12" ht="11.25">
      <c r="B51" s="84" t="s">
        <v>89</v>
      </c>
      <c r="C51" s="157">
        <v>17809.097037670002</v>
      </c>
      <c r="D51" s="157">
        <v>19080.427417589995</v>
      </c>
      <c r="E51" s="157">
        <v>19251.922982230004</v>
      </c>
      <c r="F51" s="154">
        <v>171.49556464000852</v>
      </c>
      <c r="G51" s="154">
        <v>1442.8259445600015</v>
      </c>
      <c r="H51" s="154">
        <v>0.8988035796405117</v>
      </c>
      <c r="I51" s="154">
        <v>7.918415629039055</v>
      </c>
      <c r="J51" s="154">
        <v>8.342805159762046</v>
      </c>
      <c r="K51" s="154">
        <v>7.918415629039055</v>
      </c>
      <c r="L51" s="154">
        <v>8.101623240684908</v>
      </c>
    </row>
    <row r="52" spans="2:12" ht="11.25">
      <c r="B52" s="85" t="s">
        <v>83</v>
      </c>
      <c r="C52" s="156">
        <v>14476.02333048</v>
      </c>
      <c r="D52" s="156">
        <v>15372.826365369998</v>
      </c>
      <c r="E52" s="156">
        <v>15548.93733061</v>
      </c>
      <c r="F52" s="154">
        <v>176.11096524000277</v>
      </c>
      <c r="G52" s="154">
        <v>1072.9140001300002</v>
      </c>
      <c r="H52" s="154">
        <v>1.1455991309231448</v>
      </c>
      <c r="I52" s="154">
        <v>7.714561493818128</v>
      </c>
      <c r="J52" s="154">
        <v>7.444140274076494</v>
      </c>
      <c r="K52" s="154">
        <v>7.714561493818128</v>
      </c>
      <c r="L52" s="154">
        <v>7.411662551489018</v>
      </c>
    </row>
    <row r="53" spans="2:12" ht="11.25">
      <c r="B53" s="85" t="s">
        <v>90</v>
      </c>
      <c r="C53" s="156">
        <v>2106.10243553</v>
      </c>
      <c r="D53" s="156">
        <v>2423.7365418599998</v>
      </c>
      <c r="E53" s="156">
        <v>2425.2740622500005</v>
      </c>
      <c r="F53" s="154">
        <v>1.5375203900007364</v>
      </c>
      <c r="G53" s="154">
        <v>319.1716267200004</v>
      </c>
      <c r="H53" s="154">
        <v>0.06343595367922406</v>
      </c>
      <c r="I53" s="154">
        <v>11.035288092730354</v>
      </c>
      <c r="J53" s="154">
        <v>19.743071719312777</v>
      </c>
      <c r="K53" s="154">
        <v>11.035288092730354</v>
      </c>
      <c r="L53" s="154">
        <v>15.154610779398347</v>
      </c>
    </row>
    <row r="54" spans="2:12" ht="11.25">
      <c r="B54" s="85" t="s">
        <v>85</v>
      </c>
      <c r="C54" s="156">
        <v>1226.9712716600002</v>
      </c>
      <c r="D54" s="156">
        <v>1283.86451036</v>
      </c>
      <c r="E54" s="156">
        <v>1277.71158937</v>
      </c>
      <c r="F54" s="154">
        <v>-6.152920989999984</v>
      </c>
      <c r="G54" s="154">
        <v>50.74031770999977</v>
      </c>
      <c r="H54" s="154">
        <v>-0.4792500252440723</v>
      </c>
      <c r="I54" s="154">
        <v>4.69798364939904</v>
      </c>
      <c r="J54" s="154">
        <v>0.35601545911538857</v>
      </c>
      <c r="K54" s="154">
        <v>4.69798364939904</v>
      </c>
      <c r="L54" s="154">
        <v>4.135412041176156</v>
      </c>
    </row>
    <row r="55" spans="2:12" ht="11.25">
      <c r="B55" s="84" t="s">
        <v>86</v>
      </c>
      <c r="C55" s="156">
        <v>3332.9312264</v>
      </c>
      <c r="D55" s="156">
        <v>3270.31420038</v>
      </c>
      <c r="E55" s="156">
        <v>3295.5139650199994</v>
      </c>
      <c r="F55" s="154">
        <v>25.199764639999557</v>
      </c>
      <c r="G55" s="154">
        <v>-37.41726138000058</v>
      </c>
      <c r="H55" s="154">
        <v>0.770560964358453</v>
      </c>
      <c r="I55" s="154">
        <v>-0.3264892830747823</v>
      </c>
      <c r="J55" s="154">
        <v>-0.8438025708910946</v>
      </c>
      <c r="K55" s="154">
        <v>-0.3264892830747823</v>
      </c>
      <c r="L55" s="154">
        <v>-1.122653269399021</v>
      </c>
    </row>
    <row r="56" spans="2:12" ht="11.25">
      <c r="B56" s="84" t="s">
        <v>87</v>
      </c>
      <c r="C56" s="156">
        <v>100.87367793</v>
      </c>
      <c r="D56" s="156">
        <v>91.51512725</v>
      </c>
      <c r="E56" s="156">
        <v>90.38528217999999</v>
      </c>
      <c r="F56" s="154">
        <v>-1.129845070000016</v>
      </c>
      <c r="G56" s="154">
        <v>-10.48839575000001</v>
      </c>
      <c r="H56" s="154">
        <v>-1.2345992449024497</v>
      </c>
      <c r="I56" s="154">
        <v>-15.439082833420436</v>
      </c>
      <c r="J56" s="154">
        <v>-10.226250984838913</v>
      </c>
      <c r="K56" s="154">
        <v>-15.439082833420436</v>
      </c>
      <c r="L56" s="154">
        <v>-10.39755461011177</v>
      </c>
    </row>
    <row r="57" spans="2:12" ht="11.25">
      <c r="B57" s="84" t="s">
        <v>88</v>
      </c>
      <c r="C57" s="156">
        <v>630.2042439</v>
      </c>
      <c r="D57" s="156">
        <v>598.4772853400001</v>
      </c>
      <c r="E57" s="156">
        <v>610.5654953000001</v>
      </c>
      <c r="F57" s="154">
        <v>12.088209959999972</v>
      </c>
      <c r="G57" s="154">
        <v>-19.638748599999985</v>
      </c>
      <c r="H57" s="154">
        <v>2.019827695404105</v>
      </c>
      <c r="I57" s="154">
        <v>30.228181202608575</v>
      </c>
      <c r="J57" s="154">
        <v>16.415018929548218</v>
      </c>
      <c r="K57" s="154">
        <v>30.228181202608575</v>
      </c>
      <c r="L57" s="154">
        <v>-3.116251404221937</v>
      </c>
    </row>
    <row r="58" spans="2:12" ht="12" thickBot="1">
      <c r="B58" s="170" t="s">
        <v>91</v>
      </c>
      <c r="C58" s="170">
        <v>80.35600000000001</v>
      </c>
      <c r="D58" s="170">
        <v>98.234</v>
      </c>
      <c r="E58" s="197">
        <v>103.75199999999998</v>
      </c>
      <c r="F58" s="170">
        <v>5.5179999999999865</v>
      </c>
      <c r="G58" s="170">
        <v>23.395999999999972</v>
      </c>
      <c r="H58" s="170">
        <v>5.617199747541571</v>
      </c>
      <c r="I58" s="170">
        <v>49.59794338325412</v>
      </c>
      <c r="J58" s="170">
        <v>42.63685204007548</v>
      </c>
      <c r="K58" s="170">
        <v>49.59794338325412</v>
      </c>
      <c r="L58" s="170">
        <v>29.115436308427455</v>
      </c>
    </row>
    <row r="59" ht="11.25">
      <c r="B59" s="55" t="s">
        <v>121</v>
      </c>
    </row>
    <row r="62" spans="2:11" ht="12">
      <c r="B62" s="289"/>
      <c r="C62" s="289"/>
      <c r="D62" s="289"/>
      <c r="E62" s="289"/>
      <c r="F62" s="289"/>
      <c r="G62" s="289"/>
      <c r="H62" s="289"/>
      <c r="I62" s="289"/>
      <c r="J62" s="289"/>
      <c r="K62" s="289"/>
    </row>
  </sheetData>
  <sheetProtection/>
  <mergeCells count="13">
    <mergeCell ref="F24:G24"/>
    <mergeCell ref="I24:K24"/>
    <mergeCell ref="B62:K62"/>
    <mergeCell ref="B36:K36"/>
    <mergeCell ref="I37:K37"/>
    <mergeCell ref="F37:G37"/>
    <mergeCell ref="B35:K35"/>
    <mergeCell ref="B2:K2"/>
    <mergeCell ref="B22:K22"/>
    <mergeCell ref="F4:G4"/>
    <mergeCell ref="I4:K4"/>
    <mergeCell ref="B3:K3"/>
    <mergeCell ref="B23:K2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8"/>
  <sheetViews>
    <sheetView showGridLines="0" zoomScale="70" zoomScaleNormal="70" workbookViewId="0" topLeftCell="A16">
      <selection activeCell="B5" sqref="B5:S61"/>
    </sheetView>
  </sheetViews>
  <sheetFormatPr defaultColWidth="9.140625" defaultRowHeight="12"/>
  <cols>
    <col min="1" max="16384" width="9.28125" style="1" customWidth="1"/>
  </cols>
  <sheetData>
    <row r="2" spans="1:14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>
      <c r="A3" s="64"/>
      <c r="N3" s="64"/>
    </row>
    <row r="4" spans="1:17" ht="15">
      <c r="A4" s="188"/>
      <c r="N4" s="188"/>
      <c r="O4" s="189"/>
      <c r="P4" s="189"/>
      <c r="Q4" s="189"/>
    </row>
    <row r="5" spans="1:17" ht="15.75">
      <c r="A5" s="188"/>
      <c r="B5" s="95"/>
      <c r="C5" s="96"/>
      <c r="D5" s="96"/>
      <c r="E5" s="96"/>
      <c r="F5" s="96"/>
      <c r="G5" s="96"/>
      <c r="H5" s="96"/>
      <c r="I5" s="96"/>
      <c r="J5" s="96"/>
      <c r="K5" s="96"/>
      <c r="L5" s="97"/>
      <c r="M5" s="97"/>
      <c r="N5" s="188"/>
      <c r="O5" s="189"/>
      <c r="P5" s="189"/>
      <c r="Q5" s="189"/>
    </row>
    <row r="6" spans="1:17" ht="1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  <c r="P6" s="189"/>
      <c r="Q6" s="189"/>
    </row>
    <row r="7" spans="1:17" ht="1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189"/>
      <c r="Q7" s="189"/>
    </row>
    <row r="8" spans="1:17" ht="15.75">
      <c r="A8" s="188"/>
      <c r="B8" s="188"/>
      <c r="C8" s="290" t="s">
        <v>170</v>
      </c>
      <c r="D8" s="291"/>
      <c r="E8" s="291"/>
      <c r="F8" s="291"/>
      <c r="G8" s="291"/>
      <c r="H8" s="291"/>
      <c r="I8" s="291"/>
      <c r="J8" s="291"/>
      <c r="K8" s="291"/>
      <c r="L8" s="291"/>
      <c r="M8" s="292"/>
      <c r="N8" s="292"/>
      <c r="O8" s="189"/>
      <c r="P8" s="189"/>
      <c r="Q8" s="189"/>
    </row>
    <row r="9" spans="1:17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/>
      <c r="P9" s="189"/>
      <c r="Q9" s="189"/>
    </row>
    <row r="10" spans="1:17" ht="1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  <c r="P10" s="189"/>
      <c r="Q10" s="189"/>
    </row>
    <row r="11" spans="1:17" ht="1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189"/>
      <c r="Q11" s="189"/>
    </row>
    <row r="12" spans="1:17" ht="1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189"/>
      <c r="Q12" s="189"/>
    </row>
    <row r="13" spans="1:17" ht="1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89"/>
      <c r="Q13" s="189"/>
    </row>
    <row r="14" spans="1:17" ht="1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  <c r="P14" s="189"/>
      <c r="Q14" s="189"/>
    </row>
    <row r="15" spans="1:17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9"/>
      <c r="P15" s="189"/>
      <c r="Q15" s="189"/>
    </row>
    <row r="16" spans="1:24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189"/>
      <c r="Q16" s="189"/>
      <c r="X16" s="275"/>
    </row>
    <row r="17" spans="1:17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9"/>
      <c r="P17" s="189"/>
      <c r="Q17" s="189"/>
    </row>
    <row r="18" spans="1:17" ht="1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/>
      <c r="P18" s="189"/>
      <c r="Q18" s="189"/>
    </row>
    <row r="19" spans="1:17" ht="1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9"/>
      <c r="P19" s="189"/>
      <c r="Q19" s="189"/>
    </row>
    <row r="20" spans="1:17" ht="1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189"/>
      <c r="Q20" s="189"/>
    </row>
    <row r="21" spans="1:17" ht="15">
      <c r="A21" s="189"/>
      <c r="B21" s="189"/>
      <c r="C21" s="189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7" ht="1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1:17" ht="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ht="1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5" spans="1:17" ht="1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1:17" ht="1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</row>
    <row r="27" spans="1:17" ht="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</row>
    <row r="28" spans="1:17" ht="1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</row>
    <row r="29" spans="1:17" ht="1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</row>
    <row r="30" spans="1:17" ht="15">
      <c r="A30" s="189"/>
      <c r="C30" s="15"/>
      <c r="D30" s="194"/>
      <c r="E30" s="194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</row>
    <row r="31" spans="1:17" ht="15">
      <c r="A31" s="189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189"/>
      <c r="O31" s="189"/>
      <c r="P31" s="189"/>
      <c r="Q31" s="189"/>
    </row>
    <row r="32" spans="1:17" ht="15">
      <c r="A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ht="15">
      <c r="A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ht="15.75">
      <c r="A34" s="189"/>
      <c r="C34" s="95" t="s">
        <v>171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ht="15">
      <c r="A35" s="189"/>
      <c r="N35" s="189"/>
      <c r="O35" s="189"/>
      <c r="P35" s="189"/>
      <c r="Q35" s="189"/>
    </row>
    <row r="36" spans="2:5" ht="15">
      <c r="B36" s="128"/>
      <c r="C36" s="62"/>
      <c r="D36" s="62"/>
      <c r="E36" s="62"/>
    </row>
    <row r="37" ht="15">
      <c r="B37" s="193"/>
    </row>
    <row r="38" ht="15">
      <c r="B38" s="195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3"/>
  <sheetViews>
    <sheetView showGridLines="0" zoomScale="80" zoomScaleNormal="80" zoomScalePageLayoutView="0" workbookViewId="0" topLeftCell="A39">
      <selection activeCell="A3" sqref="A3:Q69"/>
    </sheetView>
  </sheetViews>
  <sheetFormatPr defaultColWidth="9.140625" defaultRowHeight="12"/>
  <sheetData>
    <row r="4" spans="2:13" ht="15.75">
      <c r="B4" s="290" t="s">
        <v>168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34" ht="11.25">
      <c r="A34" s="131"/>
    </row>
    <row r="38" spans="2:13" ht="15.75">
      <c r="B38" s="290" t="s">
        <v>130</v>
      </c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</row>
    <row r="63" ht="12">
      <c r="B63" s="62"/>
    </row>
  </sheetData>
  <sheetProtection/>
  <mergeCells count="2">
    <mergeCell ref="B4:M4"/>
    <mergeCell ref="B38:M38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tabSelected="1" zoomScale="110" zoomScaleNormal="110" zoomScaleSheetLayoutView="75" zoomScalePageLayoutView="0" workbookViewId="0" topLeftCell="A35">
      <selection activeCell="G72" sqref="G72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43</v>
      </c>
    </row>
    <row r="2" spans="1:4" ht="12.75" thickBot="1">
      <c r="A2" s="3" t="s">
        <v>2</v>
      </c>
      <c r="B2" s="47">
        <v>40121</v>
      </c>
      <c r="C2" s="47">
        <v>40151</v>
      </c>
      <c r="D2" s="4"/>
    </row>
    <row r="3" spans="1:4" ht="12">
      <c r="A3" s="5"/>
      <c r="B3" s="32"/>
      <c r="C3" s="32"/>
      <c r="D3" s="4"/>
    </row>
    <row r="4" spans="1:4" ht="12">
      <c r="A4" s="5" t="s">
        <v>162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39</v>
      </c>
      <c r="B6" s="33">
        <v>11.25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11.69</v>
      </c>
      <c r="C8" s="33">
        <v>11.69</v>
      </c>
      <c r="D8" s="4"/>
    </row>
    <row r="9" spans="1:4" ht="12">
      <c r="A9" s="5"/>
      <c r="B9" s="33"/>
      <c r="C9" s="33"/>
      <c r="D9" s="4"/>
    </row>
    <row r="10" spans="1:4" ht="12">
      <c r="A10" s="5" t="s">
        <v>101</v>
      </c>
      <c r="B10" s="50">
        <v>10.01</v>
      </c>
      <c r="C10" s="33">
        <v>10.75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50">
        <v>5.15</v>
      </c>
      <c r="C12" s="33">
        <v>5.11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7.04</v>
      </c>
      <c r="C16" s="50">
        <v>7.09</v>
      </c>
    </row>
    <row r="17" spans="1:3" ht="12">
      <c r="A17" s="5" t="s">
        <v>38</v>
      </c>
      <c r="B17" s="50">
        <v>7.37</v>
      </c>
      <c r="C17" s="50">
        <v>7.42</v>
      </c>
    </row>
    <row r="18" spans="1:3" ht="12">
      <c r="A18" s="5" t="s">
        <v>7</v>
      </c>
      <c r="B18" s="50">
        <v>150</v>
      </c>
      <c r="C18" s="50">
        <v>160</v>
      </c>
    </row>
    <row r="19" spans="1:3" ht="12">
      <c r="A19" s="5" t="s">
        <v>8</v>
      </c>
      <c r="B19" s="50">
        <v>150</v>
      </c>
      <c r="C19" s="50">
        <v>160</v>
      </c>
    </row>
    <row r="20" spans="1:3" ht="12">
      <c r="A20" s="5"/>
      <c r="B20" s="33"/>
      <c r="C20" s="33"/>
    </row>
    <row r="21" spans="1:3" ht="12">
      <c r="A21" s="6" t="s">
        <v>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7.12</v>
      </c>
      <c r="C23" s="50">
        <v>7.22</v>
      </c>
    </row>
    <row r="24" spans="1:3" ht="12">
      <c r="A24" s="5" t="s">
        <v>37</v>
      </c>
      <c r="B24" s="50">
        <v>7.52</v>
      </c>
      <c r="C24" s="50">
        <v>7.59</v>
      </c>
    </row>
    <row r="25" spans="1:3" ht="12">
      <c r="A25" s="5" t="s">
        <v>7</v>
      </c>
      <c r="B25" s="50">
        <v>150</v>
      </c>
      <c r="C25" s="50">
        <v>200</v>
      </c>
    </row>
    <row r="26" spans="1:3" ht="12">
      <c r="A26" s="5" t="s">
        <v>8</v>
      </c>
      <c r="B26" s="50">
        <v>150</v>
      </c>
      <c r="C26" s="50">
        <v>200</v>
      </c>
    </row>
    <row r="27" spans="1:3" ht="12">
      <c r="A27" s="5"/>
      <c r="B27" s="33"/>
      <c r="C27" s="33"/>
    </row>
    <row r="28" spans="1:3" ht="12">
      <c r="A28" s="6" t="s">
        <v>163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7.33</v>
      </c>
      <c r="C30" s="50">
        <v>7.47</v>
      </c>
    </row>
    <row r="31" spans="1:3" ht="12">
      <c r="A31" s="5" t="s">
        <v>37</v>
      </c>
      <c r="B31" s="50">
        <v>7.91</v>
      </c>
      <c r="C31" s="50">
        <v>8.07</v>
      </c>
    </row>
    <row r="32" spans="1:3" ht="12">
      <c r="A32" s="5" t="s">
        <v>7</v>
      </c>
      <c r="B32" s="50">
        <v>250</v>
      </c>
      <c r="C32" s="50">
        <v>200</v>
      </c>
    </row>
    <row r="33" spans="1:3" ht="12">
      <c r="A33" s="5" t="s">
        <v>8</v>
      </c>
      <c r="B33" s="50">
        <v>250</v>
      </c>
      <c r="C33" s="50">
        <v>200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40</v>
      </c>
      <c r="B37" s="132">
        <v>3510.36</v>
      </c>
      <c r="C37" s="132">
        <v>3510.36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6"/>
      <c r="C40" s="66"/>
    </row>
    <row r="41" spans="1:3" ht="12.75" thickBot="1">
      <c r="A41" s="3" t="s">
        <v>10</v>
      </c>
      <c r="B41" s="47">
        <f>B2</f>
        <v>40121</v>
      </c>
      <c r="C41" s="47">
        <f>C2</f>
        <v>40151</v>
      </c>
    </row>
    <row r="42" spans="1:3" ht="12">
      <c r="A42" s="5"/>
      <c r="B42" s="67"/>
      <c r="C42" s="67"/>
    </row>
    <row r="43" spans="1:3" ht="12">
      <c r="A43" s="6" t="s">
        <v>11</v>
      </c>
      <c r="B43" s="30"/>
      <c r="C43" s="30"/>
    </row>
    <row r="44" spans="1:3" ht="12">
      <c r="A44" s="7" t="s">
        <v>80</v>
      </c>
      <c r="B44" s="30"/>
      <c r="C44" s="30"/>
    </row>
    <row r="45" spans="1:3" ht="12">
      <c r="A45" s="5" t="s">
        <v>12</v>
      </c>
      <c r="B45" s="200">
        <v>8.82</v>
      </c>
      <c r="C45" s="200">
        <v>8.82</v>
      </c>
    </row>
    <row r="46" spans="1:3" ht="12">
      <c r="A46" s="5" t="s">
        <v>7</v>
      </c>
      <c r="B46" s="200">
        <v>8</v>
      </c>
      <c r="C46" s="200">
        <v>8</v>
      </c>
    </row>
    <row r="47" spans="1:3" ht="12">
      <c r="A47" s="5" t="s">
        <v>8</v>
      </c>
      <c r="B47" s="200">
        <v>0</v>
      </c>
      <c r="C47" s="200">
        <v>0</v>
      </c>
    </row>
    <row r="48" spans="1:3" ht="12">
      <c r="A48" s="5"/>
      <c r="B48" s="201"/>
      <c r="C48" s="201"/>
    </row>
    <row r="49" spans="1:3" ht="12">
      <c r="A49" s="5" t="s">
        <v>13</v>
      </c>
      <c r="B49" s="202">
        <v>6616.67</v>
      </c>
      <c r="C49" s="277">
        <v>6666.68</v>
      </c>
    </row>
    <row r="50" spans="1:4" ht="12.75" thickBot="1">
      <c r="A50" s="5"/>
      <c r="B50" s="66"/>
      <c r="C50" s="66"/>
      <c r="D50" s="9"/>
    </row>
    <row r="51" spans="1:3" ht="12.75" thickBot="1">
      <c r="A51" s="3" t="s">
        <v>14</v>
      </c>
      <c r="B51" s="47">
        <f>B41</f>
        <v>40121</v>
      </c>
      <c r="C51" s="47">
        <f>C41</f>
        <v>40151</v>
      </c>
    </row>
    <row r="52" spans="1:3" ht="12">
      <c r="A52" s="5"/>
      <c r="B52" s="67"/>
      <c r="C52" s="67"/>
    </row>
    <row r="53" spans="1:3" ht="12">
      <c r="A53" s="6" t="s">
        <v>15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16</v>
      </c>
      <c r="B55" s="132">
        <v>31.88</v>
      </c>
      <c r="C55" s="132">
        <v>8.19</v>
      </c>
      <c r="D55" s="8"/>
    </row>
    <row r="56" spans="1:9" ht="12">
      <c r="A56" s="5" t="s">
        <v>17</v>
      </c>
      <c r="B56" s="133">
        <v>980.58</v>
      </c>
      <c r="C56" s="133">
        <v>292.24</v>
      </c>
      <c r="D56" s="8"/>
      <c r="G56" s="9"/>
      <c r="I56" s="9"/>
    </row>
    <row r="57" spans="1:4" ht="12">
      <c r="A57" s="5" t="s">
        <v>18</v>
      </c>
      <c r="B57" s="133">
        <v>760.15</v>
      </c>
      <c r="C57" s="133">
        <v>771.91</v>
      </c>
      <c r="D57" s="10"/>
    </row>
    <row r="58" spans="1:4" ht="12">
      <c r="A58" s="5" t="s">
        <v>19</v>
      </c>
      <c r="B58" s="133">
        <v>1005.59</v>
      </c>
      <c r="C58" s="133">
        <v>1024.12</v>
      </c>
      <c r="D58" s="10"/>
    </row>
    <row r="59" spans="1:4" ht="12">
      <c r="A59" s="5" t="s">
        <v>20</v>
      </c>
      <c r="B59" s="198">
        <v>456.906</v>
      </c>
      <c r="C59" s="132">
        <v>456.98</v>
      </c>
      <c r="D59" s="10"/>
    </row>
    <row r="60" spans="1:9" ht="12">
      <c r="A60" s="5" t="s">
        <v>21</v>
      </c>
      <c r="B60" s="133">
        <v>479.108</v>
      </c>
      <c r="C60" s="133">
        <v>495.06</v>
      </c>
      <c r="D60" s="10"/>
      <c r="G60" s="9"/>
      <c r="I60" s="9"/>
    </row>
    <row r="61" spans="1:9" ht="12">
      <c r="A61" s="5" t="s">
        <v>22</v>
      </c>
      <c r="B61" s="133">
        <v>13.374</v>
      </c>
      <c r="C61" s="133">
        <v>13.06</v>
      </c>
      <c r="D61" s="10"/>
      <c r="G61" s="9"/>
      <c r="I61" s="9"/>
    </row>
    <row r="62" spans="1:3" ht="12">
      <c r="A62" s="5" t="s">
        <v>23</v>
      </c>
      <c r="B62" s="133">
        <v>52.667</v>
      </c>
      <c r="C62" s="133">
        <v>55.34</v>
      </c>
    </row>
    <row r="63" spans="1:3" ht="12">
      <c r="A63" s="5" t="s">
        <v>24</v>
      </c>
      <c r="B63" s="133">
        <v>3.54</v>
      </c>
      <c r="C63" s="132">
        <v>3.68</v>
      </c>
    </row>
    <row r="64" spans="1:3" ht="12">
      <c r="A64" s="5"/>
      <c r="B64" s="133"/>
      <c r="C64" s="133"/>
    </row>
    <row r="65" spans="1:3" ht="12">
      <c r="A65" s="6" t="s">
        <v>25</v>
      </c>
      <c r="B65" s="133"/>
      <c r="C65" s="133"/>
    </row>
    <row r="66" spans="1:4" ht="12">
      <c r="A66" s="5"/>
      <c r="B66" s="133"/>
      <c r="C66" s="133"/>
      <c r="D66" s="8"/>
    </row>
    <row r="67" spans="1:4" ht="12">
      <c r="A67" s="5" t="s">
        <v>16</v>
      </c>
      <c r="B67" s="133">
        <v>0.78</v>
      </c>
      <c r="C67" s="133">
        <v>1.14</v>
      </c>
      <c r="D67" s="8"/>
    </row>
    <row r="68" spans="1:4" ht="12">
      <c r="A68" s="5" t="s">
        <v>17</v>
      </c>
      <c r="B68" s="133">
        <v>6.85</v>
      </c>
      <c r="C68" s="133">
        <v>12.71</v>
      </c>
      <c r="D68" s="9"/>
    </row>
    <row r="69" spans="1:4" ht="12">
      <c r="A69" s="5" t="s">
        <v>18</v>
      </c>
      <c r="B69" s="203">
        <v>154.47</v>
      </c>
      <c r="C69" s="203">
        <v>154.77</v>
      </c>
      <c r="D69" s="9"/>
    </row>
    <row r="70" spans="1:4" ht="12">
      <c r="A70" s="5" t="s">
        <v>19</v>
      </c>
      <c r="B70" s="50">
        <v>7.16</v>
      </c>
      <c r="C70" s="50">
        <v>7.13</v>
      </c>
      <c r="D70" s="9"/>
    </row>
    <row r="71" spans="1:4" ht="12">
      <c r="A71" s="5" t="s">
        <v>20</v>
      </c>
      <c r="B71" s="33">
        <v>0</v>
      </c>
      <c r="C71" s="50">
        <v>0</v>
      </c>
      <c r="D71" s="9"/>
    </row>
    <row r="72" spans="1:4" ht="12">
      <c r="A72" s="5" t="s">
        <v>21</v>
      </c>
      <c r="B72" s="33">
        <v>4.33</v>
      </c>
      <c r="C72" s="50">
        <v>4.33</v>
      </c>
      <c r="D72" s="9"/>
    </row>
    <row r="73" spans="1:4" ht="12">
      <c r="A73" s="5" t="s">
        <v>22</v>
      </c>
      <c r="B73" s="33">
        <v>2.79</v>
      </c>
      <c r="C73" s="50">
        <v>2.8</v>
      </c>
      <c r="D73" s="204"/>
    </row>
    <row r="74" spans="1:3" ht="12">
      <c r="A74" s="5" t="s">
        <v>23</v>
      </c>
      <c r="B74" s="33">
        <v>0.4</v>
      </c>
      <c r="C74" s="50">
        <v>0</v>
      </c>
    </row>
    <row r="75" spans="1:3" ht="12">
      <c r="A75" s="5" t="s">
        <v>24</v>
      </c>
      <c r="B75" s="33">
        <v>0</v>
      </c>
      <c r="C75" s="50">
        <v>0</v>
      </c>
    </row>
    <row r="76" spans="1:3" ht="12">
      <c r="A76" s="5"/>
      <c r="B76" s="33"/>
      <c r="C76" s="33"/>
    </row>
    <row r="77" spans="1:3" ht="12">
      <c r="A77" s="6" t="s">
        <v>132</v>
      </c>
      <c r="B77" s="33"/>
      <c r="C77" s="33"/>
    </row>
    <row r="78" spans="1:3" ht="12">
      <c r="A78" s="5" t="s">
        <v>133</v>
      </c>
      <c r="B78" s="33">
        <v>2.53</v>
      </c>
      <c r="C78" s="33">
        <v>1.8</v>
      </c>
    </row>
    <row r="79" spans="1:3" ht="12">
      <c r="A79" s="5" t="s">
        <v>19</v>
      </c>
      <c r="B79" s="33">
        <v>23.62</v>
      </c>
      <c r="C79" s="33">
        <v>23.4</v>
      </c>
    </row>
    <row r="80" spans="1:3" ht="12.75" thickBot="1">
      <c r="A80" s="5"/>
      <c r="B80" s="33"/>
      <c r="C80" s="33"/>
    </row>
    <row r="81" spans="1:3" ht="12.75" thickBot="1">
      <c r="A81" s="3" t="s">
        <v>79</v>
      </c>
      <c r="B81" s="47">
        <f>B51</f>
        <v>40121</v>
      </c>
      <c r="C81" s="47">
        <f>C51</f>
        <v>40151</v>
      </c>
    </row>
    <row r="82" spans="1:3" ht="12">
      <c r="A82" s="5"/>
      <c r="B82" s="67"/>
      <c r="C82" s="67"/>
    </row>
    <row r="83" spans="1:3" ht="12">
      <c r="A83" s="5" t="s">
        <v>26</v>
      </c>
      <c r="B83" s="65">
        <v>6.7</v>
      </c>
      <c r="C83" s="65">
        <v>7</v>
      </c>
    </row>
    <row r="84" spans="1:3" ht="12">
      <c r="A84" s="5" t="s">
        <v>27</v>
      </c>
      <c r="B84" s="65">
        <v>7.1</v>
      </c>
      <c r="C84" s="65">
        <v>7</v>
      </c>
    </row>
    <row r="85" spans="1:3" ht="12.75" thickBot="1">
      <c r="A85" s="11" t="s">
        <v>28</v>
      </c>
      <c r="B85" s="52">
        <v>0.2</v>
      </c>
      <c r="C85" s="52">
        <v>-0.1</v>
      </c>
    </row>
    <row r="86" ht="12">
      <c r="A86" s="2" t="s">
        <v>106</v>
      </c>
    </row>
    <row r="87" ht="12">
      <c r="A87" s="2" t="s">
        <v>111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97"/>
  <sheetViews>
    <sheetView showGridLines="0" zoomScaleSheetLayoutView="75" workbookViewId="0" topLeftCell="A36">
      <selection activeCell="A3" sqref="A3:N67"/>
    </sheetView>
  </sheetViews>
  <sheetFormatPr defaultColWidth="9.140625" defaultRowHeight="12"/>
  <cols>
    <col min="1" max="1" width="3.421875" style="0" customWidth="1"/>
  </cols>
  <sheetData>
    <row r="2" spans="4:14" ht="15.75">
      <c r="D2" s="294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2:12" ht="20.25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6" ht="15.75">
      <c r="A4" s="14"/>
      <c r="B4" s="296" t="s">
        <v>169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14"/>
      <c r="N4" s="14"/>
      <c r="O4" s="14"/>
      <c r="P4" s="14"/>
    </row>
    <row r="5" spans="1:16" ht="18">
      <c r="A5" s="1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4"/>
      <c r="B25" s="296" t="s">
        <v>161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14"/>
      <c r="N25" s="14"/>
      <c r="O25" s="14"/>
      <c r="P25" s="14"/>
    </row>
    <row r="26" spans="1:16" ht="15.75">
      <c r="A26" s="14"/>
      <c r="B26" s="88"/>
      <c r="C26" s="63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76" t="s">
        <v>103</v>
      </c>
    </row>
    <row r="45" spans="2:12" ht="15.75">
      <c r="B45" s="293" t="s">
        <v>156</v>
      </c>
      <c r="C45" s="291"/>
      <c r="D45" s="291"/>
      <c r="E45" s="291"/>
      <c r="F45" s="291"/>
      <c r="G45" s="291"/>
      <c r="H45" s="291"/>
      <c r="I45" s="291"/>
      <c r="J45" s="291"/>
      <c r="K45" s="291"/>
      <c r="L45" s="291"/>
    </row>
    <row r="60" spans="2:12" ht="20.25"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3"/>
    </row>
    <row r="61" spans="2:12" ht="20.25"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</row>
    <row r="62" spans="2:12" ht="20.25"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</row>
    <row r="75" ht="11.25">
      <c r="B75" s="206"/>
    </row>
    <row r="97" ht="15">
      <c r="B97" s="87" t="s">
        <v>104</v>
      </c>
    </row>
  </sheetData>
  <sheetProtection/>
  <mergeCells count="6">
    <mergeCell ref="A7:J7"/>
    <mergeCell ref="B45:L45"/>
    <mergeCell ref="D2:N2"/>
    <mergeCell ref="B4:L4"/>
    <mergeCell ref="B3:L3"/>
    <mergeCell ref="B25:L25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G22"/>
  <sheetViews>
    <sheetView showGridLines="0" zoomScale="90" zoomScaleNormal="90" zoomScaleSheetLayoutView="75" zoomScalePageLayoutView="0" workbookViewId="0" topLeftCell="A1">
      <pane xSplit="59" ySplit="4" topLeftCell="BU8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27" sqref="B27"/>
    </sheetView>
  </sheetViews>
  <sheetFormatPr defaultColWidth="9.140625" defaultRowHeight="19.5" customHeight="1"/>
  <cols>
    <col min="1" max="1" width="4.7109375" style="31" customWidth="1"/>
    <col min="2" max="2" width="57.14062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hidden="1" customWidth="1"/>
    <col min="66" max="66" width="11.7109375" style="31" hidden="1" customWidth="1"/>
    <col min="67" max="67" width="12.421875" style="31" hidden="1" customWidth="1"/>
    <col min="68" max="68" width="13.140625" style="31" hidden="1" customWidth="1"/>
    <col min="69" max="69" width="14.140625" style="31" hidden="1" customWidth="1"/>
    <col min="70" max="70" width="13.421875" style="31" hidden="1" customWidth="1"/>
    <col min="71" max="71" width="13.7109375" style="31" hidden="1" customWidth="1"/>
    <col min="72" max="72" width="14.00390625" style="31" hidden="1" customWidth="1"/>
    <col min="73" max="73" width="14.00390625" style="31" customWidth="1"/>
    <col min="74" max="74" width="14.7109375" style="31" customWidth="1"/>
    <col min="75" max="75" width="13.7109375" style="31" customWidth="1"/>
    <col min="76" max="76" width="15.421875" style="31" customWidth="1"/>
    <col min="77" max="78" width="13.7109375" style="31" customWidth="1"/>
    <col min="79" max="79" width="15.140625" style="31" customWidth="1"/>
    <col min="80" max="80" width="15.421875" style="31" customWidth="1"/>
    <col min="81" max="81" width="15.7109375" style="31" customWidth="1"/>
    <col min="82" max="82" width="15.28125" style="31" customWidth="1"/>
    <col min="83" max="83" width="14.7109375" style="31" customWidth="1"/>
    <col min="84" max="84" width="14.00390625" style="31" customWidth="1"/>
    <col min="85" max="85" width="11.8515625" style="31" bestFit="1" customWidth="1"/>
    <col min="86" max="16384" width="9.140625" style="31" customWidth="1"/>
  </cols>
  <sheetData>
    <row r="2" spans="1:48" ht="19.5" customHeight="1">
      <c r="A2" s="98"/>
      <c r="B2" s="99" t="s">
        <v>120</v>
      </c>
      <c r="C2" s="100"/>
      <c r="D2" s="100"/>
      <c r="E2" s="100"/>
      <c r="F2" s="101"/>
      <c r="G2" s="102"/>
      <c r="H2" s="101"/>
      <c r="I2" s="102"/>
      <c r="J2" s="102"/>
      <c r="K2" s="101"/>
      <c r="L2" s="101"/>
      <c r="M2" s="102"/>
      <c r="N2" s="102"/>
      <c r="O2" s="103"/>
      <c r="P2" s="102"/>
      <c r="Q2" s="101"/>
      <c r="R2" s="102"/>
      <c r="S2" s="102"/>
      <c r="T2" s="104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62" ht="19.5" customHeight="1" thickBot="1">
      <c r="A3" s="98"/>
      <c r="B3" s="89"/>
      <c r="C3" s="89"/>
      <c r="D3" s="89"/>
      <c r="E3" s="89"/>
      <c r="F3" s="90"/>
      <c r="G3" s="90"/>
      <c r="H3" s="90"/>
      <c r="I3" s="91"/>
      <c r="J3" s="91"/>
      <c r="K3" s="90"/>
      <c r="L3" s="90"/>
      <c r="M3" s="91"/>
      <c r="N3" s="91"/>
      <c r="O3" s="92"/>
      <c r="P3" s="91"/>
      <c r="Q3" s="90"/>
      <c r="R3" s="91"/>
      <c r="S3" s="91"/>
      <c r="T3" s="93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5" ht="19.5" customHeight="1" thickBot="1">
      <c r="A4" s="98"/>
      <c r="B4" s="214"/>
      <c r="C4" s="215">
        <v>37655</v>
      </c>
      <c r="D4" s="215">
        <v>37681</v>
      </c>
      <c r="E4" s="215">
        <v>37712</v>
      </c>
      <c r="F4" s="215">
        <v>37742</v>
      </c>
      <c r="G4" s="215">
        <v>37773</v>
      </c>
      <c r="H4" s="215">
        <v>37803</v>
      </c>
      <c r="I4" s="215">
        <v>37834</v>
      </c>
      <c r="J4" s="215">
        <v>37865</v>
      </c>
      <c r="K4" s="215">
        <v>37895</v>
      </c>
      <c r="L4" s="215">
        <v>37926</v>
      </c>
      <c r="M4" s="215">
        <v>37956</v>
      </c>
      <c r="N4" s="215">
        <v>37987</v>
      </c>
      <c r="O4" s="216">
        <v>38018</v>
      </c>
      <c r="P4" s="215">
        <v>38047</v>
      </c>
      <c r="Q4" s="215">
        <v>38078</v>
      </c>
      <c r="R4" s="215">
        <v>38108</v>
      </c>
      <c r="S4" s="215">
        <v>38139</v>
      </c>
      <c r="T4" s="215">
        <v>38169</v>
      </c>
      <c r="U4" s="215">
        <v>38200</v>
      </c>
      <c r="V4" s="215">
        <v>38231</v>
      </c>
      <c r="W4" s="215">
        <v>38261</v>
      </c>
      <c r="X4" s="215">
        <v>38292</v>
      </c>
      <c r="Y4" s="215">
        <v>38322</v>
      </c>
      <c r="Z4" s="215">
        <v>38353</v>
      </c>
      <c r="AA4" s="215">
        <v>38384</v>
      </c>
      <c r="AB4" s="215">
        <v>38412</v>
      </c>
      <c r="AC4" s="215">
        <v>38443</v>
      </c>
      <c r="AD4" s="215">
        <v>38473</v>
      </c>
      <c r="AE4" s="215">
        <v>38504</v>
      </c>
      <c r="AF4" s="215">
        <v>38534</v>
      </c>
      <c r="AG4" s="215">
        <v>38565</v>
      </c>
      <c r="AH4" s="215">
        <v>38596</v>
      </c>
      <c r="AI4" s="215">
        <v>38626</v>
      </c>
      <c r="AJ4" s="215">
        <v>38657</v>
      </c>
      <c r="AK4" s="215">
        <v>38687</v>
      </c>
      <c r="AL4" s="215">
        <v>38718</v>
      </c>
      <c r="AM4" s="215">
        <v>38749</v>
      </c>
      <c r="AN4" s="215">
        <v>38777</v>
      </c>
      <c r="AO4" s="215">
        <v>38808</v>
      </c>
      <c r="AP4" s="215">
        <v>38838</v>
      </c>
      <c r="AQ4" s="215">
        <v>38869</v>
      </c>
      <c r="AR4" s="215">
        <v>38929</v>
      </c>
      <c r="AS4" s="215">
        <v>38960</v>
      </c>
      <c r="AT4" s="215">
        <v>38990</v>
      </c>
      <c r="AU4" s="215">
        <v>39021</v>
      </c>
      <c r="AV4" s="215">
        <v>39051</v>
      </c>
      <c r="AW4" s="215">
        <v>39082</v>
      </c>
      <c r="AX4" s="217">
        <v>39113</v>
      </c>
      <c r="AY4" s="217">
        <v>39141</v>
      </c>
      <c r="AZ4" s="217">
        <v>39172</v>
      </c>
      <c r="BA4" s="217">
        <v>39202</v>
      </c>
      <c r="BB4" s="217">
        <v>39233</v>
      </c>
      <c r="BC4" s="217">
        <v>39263</v>
      </c>
      <c r="BD4" s="217">
        <v>39294</v>
      </c>
      <c r="BE4" s="217">
        <v>39325</v>
      </c>
      <c r="BF4" s="217">
        <v>39355</v>
      </c>
      <c r="BG4" s="217">
        <v>39386</v>
      </c>
      <c r="BH4" s="217">
        <v>39416</v>
      </c>
      <c r="BI4" s="217">
        <v>39447</v>
      </c>
      <c r="BJ4" s="217">
        <v>39478</v>
      </c>
      <c r="BK4" s="217">
        <v>39507</v>
      </c>
      <c r="BL4" s="217">
        <v>39538</v>
      </c>
      <c r="BM4" s="217">
        <v>39568</v>
      </c>
      <c r="BN4" s="217">
        <v>39599</v>
      </c>
      <c r="BO4" s="217">
        <v>39629</v>
      </c>
      <c r="BP4" s="217">
        <v>39660</v>
      </c>
      <c r="BQ4" s="217">
        <v>39691</v>
      </c>
      <c r="BR4" s="217">
        <v>39721</v>
      </c>
      <c r="BS4" s="217">
        <v>39752</v>
      </c>
      <c r="BT4" s="217">
        <v>39782</v>
      </c>
      <c r="BU4" s="217">
        <v>39813</v>
      </c>
      <c r="BV4" s="217">
        <v>39844</v>
      </c>
      <c r="BW4" s="217">
        <v>39872</v>
      </c>
      <c r="BX4" s="217">
        <v>39903</v>
      </c>
      <c r="BY4" s="217">
        <v>39933</v>
      </c>
      <c r="BZ4" s="217">
        <v>39964</v>
      </c>
      <c r="CA4" s="217">
        <v>39994</v>
      </c>
      <c r="CB4" s="217">
        <v>40025</v>
      </c>
      <c r="CC4" s="217">
        <v>40056</v>
      </c>
      <c r="CD4" s="217">
        <v>40086</v>
      </c>
      <c r="CE4" s="217">
        <v>40117</v>
      </c>
      <c r="CF4" s="217">
        <v>40147</v>
      </c>
      <c r="CG4" s="217">
        <v>40177</v>
      </c>
    </row>
    <row r="5" spans="1:85" ht="19.5" customHeight="1">
      <c r="A5" s="125"/>
      <c r="B5" s="218" t="s">
        <v>81</v>
      </c>
      <c r="C5" s="219"/>
      <c r="D5" s="219"/>
      <c r="E5" s="220"/>
      <c r="F5" s="221"/>
      <c r="G5" s="221"/>
      <c r="H5" s="221"/>
      <c r="I5" s="221"/>
      <c r="J5" s="221"/>
      <c r="K5" s="221"/>
      <c r="L5" s="221"/>
      <c r="M5" s="222"/>
      <c r="N5" s="221"/>
      <c r="O5" s="223"/>
      <c r="P5" s="224"/>
      <c r="Q5" s="221"/>
      <c r="R5" s="224"/>
      <c r="S5" s="224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</row>
    <row r="6" spans="1:85" ht="19.5" customHeight="1">
      <c r="A6" s="98"/>
      <c r="B6" s="218"/>
      <c r="C6" s="219"/>
      <c r="D6" s="219"/>
      <c r="E6" s="220"/>
      <c r="F6" s="221"/>
      <c r="G6" s="221"/>
      <c r="H6" s="221"/>
      <c r="I6" s="221"/>
      <c r="J6" s="221"/>
      <c r="K6" s="221"/>
      <c r="L6" s="221"/>
      <c r="M6" s="222"/>
      <c r="N6" s="221"/>
      <c r="O6" s="223"/>
      <c r="P6" s="224"/>
      <c r="Q6" s="221"/>
      <c r="R6" s="224"/>
      <c r="S6" s="224"/>
      <c r="T6" s="225"/>
      <c r="U6" s="224"/>
      <c r="V6" s="224"/>
      <c r="W6" s="224"/>
      <c r="X6" s="224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</row>
    <row r="7" spans="2:85" ht="19.5" customHeight="1">
      <c r="B7" s="218" t="s">
        <v>108</v>
      </c>
      <c r="C7" s="226">
        <v>2595.44027685</v>
      </c>
      <c r="D7" s="226">
        <v>2187.8368766900003</v>
      </c>
      <c r="E7" s="226">
        <v>2272.4872471500003</v>
      </c>
      <c r="F7" s="227">
        <v>2113.36340838</v>
      </c>
      <c r="G7" s="227">
        <v>2165.8</v>
      </c>
      <c r="H7" s="228">
        <v>2129.6</v>
      </c>
      <c r="I7" s="221">
        <v>1891</v>
      </c>
      <c r="J7" s="227">
        <v>2181.2</v>
      </c>
      <c r="K7" s="227">
        <v>2467.9</v>
      </c>
      <c r="L7" s="227">
        <v>2091</v>
      </c>
      <c r="M7" s="229">
        <v>2110.3</v>
      </c>
      <c r="N7" s="227">
        <v>2710.8702829799995</v>
      </c>
      <c r="O7" s="230">
        <v>1935.4129830699999</v>
      </c>
      <c r="P7" s="231">
        <v>1824.1042653499997</v>
      </c>
      <c r="Q7" s="221">
        <v>2395.6</v>
      </c>
      <c r="R7" s="221">
        <v>1860.4</v>
      </c>
      <c r="S7" s="221">
        <v>1783.2</v>
      </c>
      <c r="T7" s="221">
        <v>1984.6</v>
      </c>
      <c r="U7" s="221">
        <v>1989.9</v>
      </c>
      <c r="V7" s="221">
        <v>1808.2</v>
      </c>
      <c r="W7" s="221">
        <v>2207.6</v>
      </c>
      <c r="X7" s="221">
        <v>1987.9</v>
      </c>
      <c r="Y7" s="221">
        <v>1977.3</v>
      </c>
      <c r="Z7" s="221">
        <v>2327.5</v>
      </c>
      <c r="AA7" s="221">
        <v>2029.5</v>
      </c>
      <c r="AB7" s="221">
        <v>1912.6</v>
      </c>
      <c r="AC7" s="221">
        <v>2303.8</v>
      </c>
      <c r="AD7" s="221">
        <v>2107.1</v>
      </c>
      <c r="AE7" s="221">
        <v>1874.1</v>
      </c>
      <c r="AF7" s="221">
        <v>2354.7</v>
      </c>
      <c r="AG7" s="221">
        <v>2159.1</v>
      </c>
      <c r="AH7" s="221">
        <v>1818.2</v>
      </c>
      <c r="AI7" s="227">
        <v>2245</v>
      </c>
      <c r="AJ7" s="227">
        <v>1902.22246</v>
      </c>
      <c r="AK7" s="227">
        <v>1983.9</v>
      </c>
      <c r="AL7" s="227">
        <v>2705.5</v>
      </c>
      <c r="AM7" s="227">
        <v>2696</v>
      </c>
      <c r="AN7" s="227">
        <v>2458.1</v>
      </c>
      <c r="AO7" s="227">
        <v>3129.7</v>
      </c>
      <c r="AP7" s="227">
        <v>2973</v>
      </c>
      <c r="AQ7" s="227">
        <v>2677.9</v>
      </c>
      <c r="AR7" s="227">
        <v>3313.1</v>
      </c>
      <c r="AS7" s="227">
        <v>2760.7</v>
      </c>
      <c r="AT7" s="227">
        <v>3119.2</v>
      </c>
      <c r="AU7" s="227">
        <v>4104.4</v>
      </c>
      <c r="AV7" s="227">
        <v>3495.2</v>
      </c>
      <c r="AW7" s="227">
        <v>3164.3</v>
      </c>
      <c r="AX7" s="227">
        <v>4865.6</v>
      </c>
      <c r="AY7" s="227">
        <v>4466.4</v>
      </c>
      <c r="AZ7" s="227">
        <v>5690</v>
      </c>
      <c r="BA7" s="227">
        <v>6260.1</v>
      </c>
      <c r="BB7" s="232">
        <v>5643.8</v>
      </c>
      <c r="BC7" s="233">
        <v>6085.3</v>
      </c>
      <c r="BD7" s="233">
        <v>7455.9</v>
      </c>
      <c r="BE7" s="233">
        <v>6359</v>
      </c>
      <c r="BF7" s="233">
        <v>5868.650081049999</v>
      </c>
      <c r="BG7" s="233">
        <v>6499.853570999999</v>
      </c>
      <c r="BH7" s="233">
        <v>6257.02633294</v>
      </c>
      <c r="BI7" s="233">
        <v>6743.949222620002</v>
      </c>
      <c r="BJ7" s="233">
        <v>8497.90853458</v>
      </c>
      <c r="BK7" s="233">
        <v>8656.654479950002</v>
      </c>
      <c r="BL7" s="233">
        <v>8900.78</v>
      </c>
      <c r="BM7" s="233">
        <v>9949.63092274</v>
      </c>
      <c r="BN7" s="233">
        <v>9441.90025126</v>
      </c>
      <c r="BO7" s="233">
        <v>9697.814715469998</v>
      </c>
      <c r="BP7" s="233">
        <v>11758.2039831</v>
      </c>
      <c r="BQ7" s="233">
        <v>10730.849802119998</v>
      </c>
      <c r="BR7" s="233">
        <v>10942.098551590001</v>
      </c>
      <c r="BS7" s="233">
        <v>13805.317071959998</v>
      </c>
      <c r="BT7" s="233">
        <v>12725.77199603</v>
      </c>
      <c r="BU7" s="234">
        <v>12857.52677013</v>
      </c>
      <c r="BV7" s="234">
        <v>14524</v>
      </c>
      <c r="BW7" s="234">
        <v>13779</v>
      </c>
      <c r="BX7" s="234">
        <v>14136.3</v>
      </c>
      <c r="BY7" s="234">
        <v>14561.206</v>
      </c>
      <c r="BZ7" s="234">
        <v>14205.63</v>
      </c>
      <c r="CA7" s="234">
        <v>13206.787</v>
      </c>
      <c r="CB7" s="234">
        <v>13706.835257</v>
      </c>
      <c r="CC7" s="234">
        <v>13840</v>
      </c>
      <c r="CD7" s="234">
        <v>14719.96</v>
      </c>
      <c r="CE7" s="234">
        <v>15827.33</v>
      </c>
      <c r="CF7" s="234">
        <v>14317.35</v>
      </c>
      <c r="CG7" s="234">
        <v>13823.22</v>
      </c>
    </row>
    <row r="8" spans="2:85" ht="19.5" customHeight="1">
      <c r="B8" s="218" t="s">
        <v>29</v>
      </c>
      <c r="C8" s="235"/>
      <c r="D8" s="235">
        <f>D7-C7</f>
        <v>-407.60340015999964</v>
      </c>
      <c r="E8" s="235">
        <f>E7-D7</f>
        <v>84.65037045999998</v>
      </c>
      <c r="F8" s="235">
        <f>F7-E7</f>
        <v>-159.12383877000048</v>
      </c>
      <c r="G8" s="235">
        <f aca="true" t="shared" si="0" ref="G8:AG8">G7-F7</f>
        <v>52.4365916200004</v>
      </c>
      <c r="H8" s="235">
        <f t="shared" si="0"/>
        <v>-36.20000000000027</v>
      </c>
      <c r="I8" s="235">
        <f t="shared" si="0"/>
        <v>-238.5999999999999</v>
      </c>
      <c r="J8" s="235">
        <f t="shared" si="0"/>
        <v>290.1999999999998</v>
      </c>
      <c r="K8" s="235">
        <f t="shared" si="0"/>
        <v>286.7000000000003</v>
      </c>
      <c r="L8" s="235">
        <f t="shared" si="0"/>
        <v>-376.9000000000001</v>
      </c>
      <c r="M8" s="235">
        <f t="shared" si="0"/>
        <v>19.300000000000182</v>
      </c>
      <c r="N8" s="235">
        <f t="shared" si="0"/>
        <v>600.5702829799993</v>
      </c>
      <c r="O8" s="236">
        <f t="shared" si="0"/>
        <v>-775.4572999099996</v>
      </c>
      <c r="P8" s="228">
        <f t="shared" si="0"/>
        <v>-111.30871772000023</v>
      </c>
      <c r="Q8" s="228">
        <f t="shared" si="0"/>
        <v>571.4957346500003</v>
      </c>
      <c r="R8" s="228">
        <f t="shared" si="0"/>
        <v>-535.1999999999998</v>
      </c>
      <c r="S8" s="228">
        <f t="shared" si="0"/>
        <v>-77.20000000000005</v>
      </c>
      <c r="T8" s="228">
        <f t="shared" si="0"/>
        <v>201.39999999999986</v>
      </c>
      <c r="U8" s="228">
        <f t="shared" si="0"/>
        <v>5.300000000000182</v>
      </c>
      <c r="V8" s="228">
        <f t="shared" si="0"/>
        <v>-181.70000000000005</v>
      </c>
      <c r="W8" s="228">
        <f t="shared" si="0"/>
        <v>399.39999999999986</v>
      </c>
      <c r="X8" s="228">
        <f t="shared" si="0"/>
        <v>-219.69999999999982</v>
      </c>
      <c r="Y8" s="228">
        <f t="shared" si="0"/>
        <v>-10.600000000000136</v>
      </c>
      <c r="Z8" s="228">
        <f t="shared" si="0"/>
        <v>350.20000000000005</v>
      </c>
      <c r="AA8" s="228">
        <f t="shared" si="0"/>
        <v>-298</v>
      </c>
      <c r="AB8" s="228">
        <f t="shared" si="0"/>
        <v>-116.90000000000009</v>
      </c>
      <c r="AC8" s="228">
        <f t="shared" si="0"/>
        <v>391.2000000000003</v>
      </c>
      <c r="AD8" s="228">
        <f t="shared" si="0"/>
        <v>-196.70000000000027</v>
      </c>
      <c r="AE8" s="228">
        <f t="shared" si="0"/>
        <v>-233</v>
      </c>
      <c r="AF8" s="228">
        <f t="shared" si="0"/>
        <v>480.5999999999999</v>
      </c>
      <c r="AG8" s="228">
        <f t="shared" si="0"/>
        <v>-195.5999999999999</v>
      </c>
      <c r="AH8" s="228">
        <f aca="true" t="shared" si="1" ref="AH8:BO8">AH7-AG7</f>
        <v>-340.89999999999986</v>
      </c>
      <c r="AI8" s="228">
        <f t="shared" si="1"/>
        <v>426.79999999999995</v>
      </c>
      <c r="AJ8" s="228">
        <f t="shared" si="1"/>
        <v>-342.77754000000004</v>
      </c>
      <c r="AK8" s="228">
        <f t="shared" si="1"/>
        <v>81.67754000000014</v>
      </c>
      <c r="AL8" s="228">
        <f t="shared" si="1"/>
        <v>721.5999999999999</v>
      </c>
      <c r="AM8" s="228">
        <f t="shared" si="1"/>
        <v>-9.5</v>
      </c>
      <c r="AN8" s="228">
        <f t="shared" si="1"/>
        <v>-237.9000000000001</v>
      </c>
      <c r="AO8" s="228">
        <f t="shared" si="1"/>
        <v>671.5999999999999</v>
      </c>
      <c r="AP8" s="228">
        <f t="shared" si="1"/>
        <v>-156.69999999999982</v>
      </c>
      <c r="AQ8" s="228">
        <f t="shared" si="1"/>
        <v>-295.0999999999999</v>
      </c>
      <c r="AR8" s="228">
        <f t="shared" si="1"/>
        <v>635.1999999999998</v>
      </c>
      <c r="AS8" s="228">
        <f t="shared" si="1"/>
        <v>-552.4000000000001</v>
      </c>
      <c r="AT8" s="228">
        <f t="shared" si="1"/>
        <v>358.5</v>
      </c>
      <c r="AU8" s="228">
        <f t="shared" si="1"/>
        <v>985.1999999999998</v>
      </c>
      <c r="AV8" s="228">
        <f t="shared" si="1"/>
        <v>-609.1999999999998</v>
      </c>
      <c r="AW8" s="228">
        <f t="shared" si="1"/>
        <v>-330.89999999999964</v>
      </c>
      <c r="AX8" s="228">
        <f t="shared" si="1"/>
        <v>1701.3000000000002</v>
      </c>
      <c r="AY8" s="228">
        <f t="shared" si="1"/>
        <v>-399.2000000000007</v>
      </c>
      <c r="AZ8" s="228">
        <f t="shared" si="1"/>
        <v>1223.6000000000004</v>
      </c>
      <c r="BA8" s="228">
        <f t="shared" si="1"/>
        <v>570.1000000000004</v>
      </c>
      <c r="BB8" s="237">
        <f t="shared" si="1"/>
        <v>-616.3000000000002</v>
      </c>
      <c r="BC8" s="238">
        <f t="shared" si="1"/>
        <v>441.5</v>
      </c>
      <c r="BD8" s="238">
        <f t="shared" si="1"/>
        <v>1370.5999999999995</v>
      </c>
      <c r="BE8" s="238">
        <f t="shared" si="1"/>
        <v>-1096.8999999999996</v>
      </c>
      <c r="BF8" s="238">
        <f t="shared" si="1"/>
        <v>-490.34991895000076</v>
      </c>
      <c r="BG8" s="238">
        <f t="shared" si="1"/>
        <v>631.2034899499995</v>
      </c>
      <c r="BH8" s="238">
        <f t="shared" si="1"/>
        <v>-242.8272380599983</v>
      </c>
      <c r="BI8" s="238">
        <f t="shared" si="1"/>
        <v>486.9228896800014</v>
      </c>
      <c r="BJ8" s="238">
        <f t="shared" si="1"/>
        <v>1753.9593119599976</v>
      </c>
      <c r="BK8" s="238">
        <f t="shared" si="1"/>
        <v>158.74594537000303</v>
      </c>
      <c r="BL8" s="238">
        <f t="shared" si="1"/>
        <v>244.12552004999816</v>
      </c>
      <c r="BM8" s="238">
        <f t="shared" si="1"/>
        <v>1048.850922739999</v>
      </c>
      <c r="BN8" s="238">
        <f t="shared" si="1"/>
        <v>-507.7306714799997</v>
      </c>
      <c r="BO8" s="238">
        <f t="shared" si="1"/>
        <v>255.9144642099982</v>
      </c>
      <c r="BP8" s="238">
        <f aca="true" t="shared" si="2" ref="BP8:BZ8">BP7-BO7</f>
        <v>2060.389267630002</v>
      </c>
      <c r="BQ8" s="238">
        <f t="shared" si="2"/>
        <v>-1027.3541809800026</v>
      </c>
      <c r="BR8" s="238">
        <f t="shared" si="2"/>
        <v>211.24874947000353</v>
      </c>
      <c r="BS8" s="238">
        <f t="shared" si="2"/>
        <v>2863.2185203699973</v>
      </c>
      <c r="BT8" s="238">
        <f t="shared" si="2"/>
        <v>-1079.5450759299983</v>
      </c>
      <c r="BU8" s="234">
        <f t="shared" si="2"/>
        <v>131.75477409999985</v>
      </c>
      <c r="BV8" s="234">
        <f t="shared" si="2"/>
        <v>1666.47322987</v>
      </c>
      <c r="BW8" s="239">
        <f t="shared" si="2"/>
        <v>-745</v>
      </c>
      <c r="BX8" s="240">
        <f t="shared" si="2"/>
        <v>357.2999999999993</v>
      </c>
      <c r="BY8" s="240">
        <f t="shared" si="2"/>
        <v>424.90600000000086</v>
      </c>
      <c r="BZ8" s="241">
        <f t="shared" si="2"/>
        <v>-355.57600000000093</v>
      </c>
      <c r="CA8" s="241">
        <v>-998.84</v>
      </c>
      <c r="CB8" s="241">
        <f aca="true" t="shared" si="3" ref="CB8:CG8">CB7-CA7</f>
        <v>500.0482570000004</v>
      </c>
      <c r="CC8" s="241">
        <f t="shared" si="3"/>
        <v>133.16474299999936</v>
      </c>
      <c r="CD8" s="241">
        <f t="shared" si="3"/>
        <v>879.9599999999991</v>
      </c>
      <c r="CE8" s="241">
        <f t="shared" si="3"/>
        <v>1107.3700000000008</v>
      </c>
      <c r="CF8" s="241">
        <f t="shared" si="3"/>
        <v>-1509.9799999999996</v>
      </c>
      <c r="CG8" s="241">
        <f t="shared" si="3"/>
        <v>-494.130000000001</v>
      </c>
    </row>
    <row r="9" spans="2:85" ht="19.5" customHeight="1">
      <c r="B9" s="218"/>
      <c r="C9" s="219"/>
      <c r="D9" s="219"/>
      <c r="E9" s="219"/>
      <c r="F9" s="221"/>
      <c r="G9" s="221"/>
      <c r="H9" s="221"/>
      <c r="I9" s="221"/>
      <c r="J9" s="221"/>
      <c r="K9" s="221"/>
      <c r="L9" s="221"/>
      <c r="M9" s="222"/>
      <c r="N9" s="221"/>
      <c r="O9" s="223"/>
      <c r="P9" s="224"/>
      <c r="Q9" s="221"/>
      <c r="R9" s="224"/>
      <c r="S9" s="224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3"/>
      <c r="BV9" s="243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</row>
    <row r="10" spans="2:85" ht="19.5" customHeight="1">
      <c r="B10" s="218" t="s">
        <v>41</v>
      </c>
      <c r="C10" s="219"/>
      <c r="D10" s="219"/>
      <c r="E10" s="219"/>
      <c r="F10" s="221"/>
      <c r="G10" s="221"/>
      <c r="H10" s="221"/>
      <c r="I10" s="221"/>
      <c r="J10" s="221"/>
      <c r="K10" s="221"/>
      <c r="L10" s="221"/>
      <c r="M10" s="222"/>
      <c r="N10" s="221"/>
      <c r="O10" s="223"/>
      <c r="P10" s="224"/>
      <c r="Q10" s="221"/>
      <c r="R10" s="224"/>
      <c r="S10" s="224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3"/>
      <c r="BV10" s="243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</row>
    <row r="11" spans="2:85" ht="19.5" customHeight="1">
      <c r="B11" s="218"/>
      <c r="C11" s="219"/>
      <c r="D11" s="219"/>
      <c r="E11" s="219"/>
      <c r="F11" s="221"/>
      <c r="G11" s="221"/>
      <c r="H11" s="221"/>
      <c r="I11" s="221"/>
      <c r="J11" s="221"/>
      <c r="K11" s="221"/>
      <c r="L11" s="221"/>
      <c r="M11" s="222"/>
      <c r="N11" s="221"/>
      <c r="O11" s="223"/>
      <c r="P11" s="224"/>
      <c r="Q11" s="221"/>
      <c r="R11" s="224"/>
      <c r="S11" s="224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3"/>
      <c r="BV11" s="243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</row>
    <row r="12" spans="2:85" ht="19.5" customHeight="1">
      <c r="B12" s="218" t="s">
        <v>30</v>
      </c>
      <c r="C12" s="219"/>
      <c r="D12" s="219">
        <v>8.0439</v>
      </c>
      <c r="E12" s="219">
        <v>7.7068</v>
      </c>
      <c r="F12" s="244">
        <v>7.6652</v>
      </c>
      <c r="G12" s="244">
        <v>7.9027</v>
      </c>
      <c r="H12" s="244">
        <v>7.5401</v>
      </c>
      <c r="I12" s="221">
        <v>7.3922</v>
      </c>
      <c r="J12" s="221">
        <v>7.3246</v>
      </c>
      <c r="K12" s="221">
        <v>6.9637</v>
      </c>
      <c r="L12" s="221">
        <v>6.7287</v>
      </c>
      <c r="M12" s="222">
        <v>6.5159</v>
      </c>
      <c r="N12" s="221">
        <v>6.9179</v>
      </c>
      <c r="O12" s="222">
        <v>6.7686</v>
      </c>
      <c r="P12" s="221">
        <v>6.6633</v>
      </c>
      <c r="Q12" s="221">
        <v>6.5537</v>
      </c>
      <c r="R12" s="221">
        <v>6.7821</v>
      </c>
      <c r="S12" s="221">
        <v>6.4381</v>
      </c>
      <c r="T12" s="245">
        <v>6.1287</v>
      </c>
      <c r="U12" s="221">
        <v>6.4575</v>
      </c>
      <c r="V12" s="221">
        <v>6.5469</v>
      </c>
      <c r="W12" s="221">
        <v>6.3876</v>
      </c>
      <c r="X12" s="221">
        <v>6.0558</v>
      </c>
      <c r="Y12" s="221">
        <v>5.7323</v>
      </c>
      <c r="Z12" s="221">
        <v>5.9698</v>
      </c>
      <c r="AA12" s="221">
        <v>6.0161</v>
      </c>
      <c r="AB12" s="221">
        <v>6.323</v>
      </c>
      <c r="AC12" s="221">
        <v>6.1521</v>
      </c>
      <c r="AD12" s="221">
        <v>6.3314</v>
      </c>
      <c r="AE12" s="245">
        <v>6.75</v>
      </c>
      <c r="AF12" s="245">
        <v>6.7035</v>
      </c>
      <c r="AG12" s="245">
        <v>6.465</v>
      </c>
      <c r="AH12" s="245">
        <v>6.3578</v>
      </c>
      <c r="AI12" s="245">
        <v>6.5766</v>
      </c>
      <c r="AJ12" s="245">
        <v>6.521</v>
      </c>
      <c r="AK12" s="245">
        <v>6.3591</v>
      </c>
      <c r="AL12" s="245">
        <v>6.0891</v>
      </c>
      <c r="AM12" s="245">
        <v>6.1177</v>
      </c>
      <c r="AN12" s="245">
        <v>6.2544</v>
      </c>
      <c r="AO12" s="245">
        <v>6.072</v>
      </c>
      <c r="AP12" s="245">
        <v>6.3199</v>
      </c>
      <c r="AQ12" s="245">
        <v>6.9549</v>
      </c>
      <c r="AR12" s="245">
        <v>7.0843</v>
      </c>
      <c r="AS12" s="245">
        <v>6.9553</v>
      </c>
      <c r="AT12" s="245">
        <v>7.4098</v>
      </c>
      <c r="AU12" s="245">
        <v>7.6492</v>
      </c>
      <c r="AV12" s="245">
        <v>7.2586</v>
      </c>
      <c r="AW12" s="245">
        <v>7.0406</v>
      </c>
      <c r="AX12" s="245">
        <v>7.1838</v>
      </c>
      <c r="AY12" s="245">
        <v>7.1698</v>
      </c>
      <c r="AZ12" s="245">
        <v>7.3514</v>
      </c>
      <c r="BA12" s="245">
        <v>7.1216</v>
      </c>
      <c r="BB12" s="246">
        <v>7.0187</v>
      </c>
      <c r="BC12" s="246">
        <v>7.1718</v>
      </c>
      <c r="BD12" s="246">
        <v>6.973</v>
      </c>
      <c r="BE12" s="246">
        <v>7.2334</v>
      </c>
      <c r="BF12" s="246">
        <v>7.1282</v>
      </c>
      <c r="BG12" s="246">
        <v>6.7729</v>
      </c>
      <c r="BH12" s="246">
        <v>6.701</v>
      </c>
      <c r="BI12" s="246">
        <v>6.8271</v>
      </c>
      <c r="BJ12" s="246">
        <v>6.9874</v>
      </c>
      <c r="BK12" s="246">
        <v>7.6386</v>
      </c>
      <c r="BL12" s="246">
        <v>7.9799</v>
      </c>
      <c r="BM12" s="246">
        <v>7.7933</v>
      </c>
      <c r="BN12" s="246">
        <v>7.6238</v>
      </c>
      <c r="BO12" s="246">
        <v>7.9188</v>
      </c>
      <c r="BP12" s="246">
        <v>7.6393</v>
      </c>
      <c r="BQ12" s="246">
        <v>7.6578</v>
      </c>
      <c r="BR12" s="246">
        <v>8.0472</v>
      </c>
      <c r="BS12" s="246">
        <v>9.6715</v>
      </c>
      <c r="BT12" s="246">
        <v>10.1177</v>
      </c>
      <c r="BU12" s="247">
        <v>9.9456</v>
      </c>
      <c r="BV12" s="247">
        <v>9.897</v>
      </c>
      <c r="BW12" s="248">
        <v>10.0062</v>
      </c>
      <c r="BX12" s="248">
        <v>9.9932</v>
      </c>
      <c r="BY12" s="248">
        <v>9.018</v>
      </c>
      <c r="BZ12" s="248">
        <v>8.3723</v>
      </c>
      <c r="CA12" s="248">
        <v>8.0518</v>
      </c>
      <c r="CB12" s="248">
        <v>7.9513</v>
      </c>
      <c r="CC12" s="248">
        <v>7.9415</v>
      </c>
      <c r="CD12" s="248">
        <v>7.5235</v>
      </c>
      <c r="CE12" s="248">
        <v>8.5235</v>
      </c>
      <c r="CF12" s="248">
        <v>7.506138</v>
      </c>
      <c r="CG12" s="248">
        <v>7.4894</v>
      </c>
    </row>
    <row r="13" spans="2:85" ht="19.5" customHeight="1">
      <c r="B13" s="218" t="s">
        <v>31</v>
      </c>
      <c r="C13" s="249"/>
      <c r="D13" s="249">
        <f>1/8.0439</f>
        <v>0.124317806039359</v>
      </c>
      <c r="E13" s="249">
        <f>1/7.7068</f>
        <v>0.12975554056158198</v>
      </c>
      <c r="F13" s="250">
        <f>1/7.6652</f>
        <v>0.13045974012419767</v>
      </c>
      <c r="G13" s="250">
        <f>1/7.9027</f>
        <v>0.12653903096410088</v>
      </c>
      <c r="H13" s="250">
        <f>1/7.5401</f>
        <v>0.1326242357528415</v>
      </c>
      <c r="I13" s="250">
        <f>1/7.3922</f>
        <v>0.13527772516977354</v>
      </c>
      <c r="J13" s="250">
        <f>1/7.3246</f>
        <v>0.1365262266881468</v>
      </c>
      <c r="K13" s="250">
        <f>1/6.9637</f>
        <v>0.14360182087108864</v>
      </c>
      <c r="L13" s="250">
        <f>1/6.7287</f>
        <v>0.14861711771961894</v>
      </c>
      <c r="M13" s="250">
        <f>1/6.5159</f>
        <v>0.15347074080326586</v>
      </c>
      <c r="N13" s="250">
        <f>1/6.9179</f>
        <v>0.14455253761979792</v>
      </c>
      <c r="O13" s="251">
        <f>1/6.7686</f>
        <v>0.14774103950595396</v>
      </c>
      <c r="P13" s="250">
        <f>1/6.6633</f>
        <v>0.1500757882730779</v>
      </c>
      <c r="Q13" s="250">
        <f>1/6.5537</f>
        <v>0.15258556235409004</v>
      </c>
      <c r="R13" s="250">
        <f>1/6.7821</f>
        <v>0.14744695595759427</v>
      </c>
      <c r="S13" s="250">
        <f>1/6.4381</f>
        <v>0.15532532890138395</v>
      </c>
      <c r="T13" s="250">
        <f>1/6.1287</f>
        <v>0.1631667400916997</v>
      </c>
      <c r="U13" s="250">
        <f>1/6.4575</f>
        <v>0.1548586914440573</v>
      </c>
      <c r="V13" s="250">
        <f>1/6.5469</f>
        <v>0.15274404680077594</v>
      </c>
      <c r="W13" s="250">
        <f>1/6.3876</f>
        <v>0.15655332206149414</v>
      </c>
      <c r="X13" s="250">
        <f>1/6.0558</f>
        <v>0.16513094884243207</v>
      </c>
      <c r="Y13" s="250">
        <f>1/5.7323</f>
        <v>0.17445004622926225</v>
      </c>
      <c r="Z13" s="250">
        <f>1/5.9698</f>
        <v>0.1675097993232604</v>
      </c>
      <c r="AA13" s="250">
        <f>1/6.0161</f>
        <v>0.16622064127923405</v>
      </c>
      <c r="AB13" s="250">
        <f>1/6.0101</f>
        <v>0.16638658258598024</v>
      </c>
      <c r="AC13" s="250">
        <f>1/6.1521</f>
        <v>0.16254612246224867</v>
      </c>
      <c r="AD13" s="250">
        <f>1/6.3314</f>
        <v>0.1579429510060966</v>
      </c>
      <c r="AE13" s="250">
        <f>1/6.75</f>
        <v>0.14814814814814814</v>
      </c>
      <c r="AF13" s="250">
        <f>1/6.7035</f>
        <v>0.14917580368464234</v>
      </c>
      <c r="AG13" s="250">
        <f>1/6.465</f>
        <v>0.15467904098994587</v>
      </c>
      <c r="AH13" s="250">
        <f>1/6.3578</f>
        <v>0.1572871118940514</v>
      </c>
      <c r="AI13" s="250">
        <f>1/6.5766</f>
        <v>0.15205425295745523</v>
      </c>
      <c r="AJ13" s="250">
        <f>1/6.521</f>
        <v>0.15335071308081583</v>
      </c>
      <c r="AK13" s="250">
        <f>1/6.3591</f>
        <v>0.157254957462534</v>
      </c>
      <c r="AL13" s="250">
        <f>1/6.0891</f>
        <v>0.1642278826099095</v>
      </c>
      <c r="AM13" s="250">
        <f>1/6.1177</f>
        <v>0.16346012390277392</v>
      </c>
      <c r="AN13" s="250">
        <f>1/6.2544</f>
        <v>0.15988743924277307</v>
      </c>
      <c r="AO13" s="250">
        <f>1/6.072</f>
        <v>0.16469038208168643</v>
      </c>
      <c r="AP13" s="250">
        <f>1/6.3199</f>
        <v>0.15823035174607195</v>
      </c>
      <c r="AQ13" s="250">
        <f>1/6.9549</f>
        <v>0.14378351953299112</v>
      </c>
      <c r="AR13" s="250">
        <f>1/7.0843</f>
        <v>0.14115720678119223</v>
      </c>
      <c r="AS13" s="250">
        <f>1/6.9553</f>
        <v>0.14377525052837403</v>
      </c>
      <c r="AT13" s="250">
        <f>1/7.4098</f>
        <v>0.1349564090798672</v>
      </c>
      <c r="AU13" s="250">
        <f>1/7.6492</f>
        <v>0.13073262563405322</v>
      </c>
      <c r="AV13" s="250">
        <f>1/7.2586</f>
        <v>0.1377676135893974</v>
      </c>
      <c r="AW13" s="250">
        <f>1/7.0406</f>
        <v>0.14203334943044627</v>
      </c>
      <c r="AX13" s="250">
        <f>1/7.1838</f>
        <v>0.13920209359948774</v>
      </c>
      <c r="AY13" s="250">
        <f>1/7.1698</f>
        <v>0.13947390443248067</v>
      </c>
      <c r="AZ13" s="250">
        <f>1/7.3514</f>
        <v>0.13602851157602633</v>
      </c>
      <c r="BA13" s="250">
        <f>1/7.1216</f>
        <v>0.14041788362165805</v>
      </c>
      <c r="BB13" s="252">
        <f>1/7.0187</f>
        <v>0.14247652699217803</v>
      </c>
      <c r="BC13" s="252">
        <f>1/7.1718</f>
        <v>0.13943500934214562</v>
      </c>
      <c r="BD13" s="252">
        <f>1/6.973</f>
        <v>0.1434102968593145</v>
      </c>
      <c r="BE13" s="252">
        <f>1/7.2334</f>
        <v>0.1382475737550806</v>
      </c>
      <c r="BF13" s="252">
        <f>1/7.1282</f>
        <v>0.14028787071069837</v>
      </c>
      <c r="BG13" s="252">
        <f>1/6.7729</f>
        <v>0.14764724121129796</v>
      </c>
      <c r="BH13" s="252">
        <f>1/6.701</f>
        <v>0.14923145799134457</v>
      </c>
      <c r="BI13" s="252">
        <f>1/6.8271</f>
        <v>0.14647507726560327</v>
      </c>
      <c r="BJ13" s="252">
        <f>1/6.9871</f>
        <v>0.1431208942193471</v>
      </c>
      <c r="BK13" s="252">
        <f>1/7.6386</f>
        <v>0.13091404184012775</v>
      </c>
      <c r="BL13" s="252">
        <f>1/7.9799</f>
        <v>0.1253148535695936</v>
      </c>
      <c r="BM13" s="252">
        <f>1/7.7933</f>
        <v>0.1283153477987502</v>
      </c>
      <c r="BN13" s="252">
        <f>1/7.6238</f>
        <v>0.13116818384532647</v>
      </c>
      <c r="BO13" s="252">
        <f>1/7.9188</f>
        <v>0.12628175986260545</v>
      </c>
      <c r="BP13" s="252">
        <f>1/7.6393</f>
        <v>0.13090204599897895</v>
      </c>
      <c r="BQ13" s="252">
        <f>1/7.6578</f>
        <v>0.1305858079343937</v>
      </c>
      <c r="BR13" s="252">
        <f>1/8.0472</f>
        <v>0.12426682572820359</v>
      </c>
      <c r="BS13" s="252">
        <f>1/9.6715</f>
        <v>0.10339657757328233</v>
      </c>
      <c r="BT13" s="252">
        <f>1/10.1177</f>
        <v>0.09883669213358769</v>
      </c>
      <c r="BU13" s="247">
        <f>1/9.9456</f>
        <v>0.10054697554697554</v>
      </c>
      <c r="BV13" s="247">
        <f>1/9.897</f>
        <v>0.1010407194099222</v>
      </c>
      <c r="BW13" s="248">
        <f>1/10.006</f>
        <v>0.09994003597841294</v>
      </c>
      <c r="BX13" s="248">
        <f>1/9.9932</f>
        <v>0.1000680462714646</v>
      </c>
      <c r="BY13" s="248">
        <f>1/9.018</f>
        <v>0.11088933244621867</v>
      </c>
      <c r="BZ13" s="248">
        <f>1/8.3723</f>
        <v>0.11944149158534693</v>
      </c>
      <c r="CA13" s="248">
        <v>0.12419583198787848</v>
      </c>
      <c r="CB13" s="248">
        <f>1/7.9513</f>
        <v>0.12576559807830168</v>
      </c>
      <c r="CC13" s="248">
        <f>1/7.9415</f>
        <v>0.12592079581942958</v>
      </c>
      <c r="CD13" s="248">
        <f>1/7.5235</f>
        <v>0.1329168605037549</v>
      </c>
      <c r="CE13" s="248">
        <f>1/7.5235</f>
        <v>0.1329168605037549</v>
      </c>
      <c r="CF13" s="248">
        <f>1/7.5235</f>
        <v>0.1329168605037549</v>
      </c>
      <c r="CG13" s="248">
        <v>0.1335</v>
      </c>
    </row>
    <row r="14" spans="2:85" ht="19.5" customHeight="1" hidden="1">
      <c r="B14" s="218" t="s">
        <v>32</v>
      </c>
      <c r="C14" s="219"/>
      <c r="D14" s="219"/>
      <c r="E14" s="219"/>
      <c r="F14" s="244"/>
      <c r="G14" s="244"/>
      <c r="H14" s="244"/>
      <c r="I14" s="221"/>
      <c r="J14" s="221"/>
      <c r="K14" s="221"/>
      <c r="L14" s="221"/>
      <c r="M14" s="222"/>
      <c r="N14" s="221"/>
      <c r="O14" s="223"/>
      <c r="P14" s="224"/>
      <c r="Q14" s="221"/>
      <c r="R14" s="224"/>
      <c r="S14" s="224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7"/>
      <c r="BV14" s="247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</row>
    <row r="15" spans="2:85" ht="19.5" customHeight="1">
      <c r="B15" s="218" t="s">
        <v>33</v>
      </c>
      <c r="C15" s="249"/>
      <c r="D15" s="249">
        <f>1/12.7437</f>
        <v>0.07847014603294176</v>
      </c>
      <c r="E15" s="249">
        <f>1/12.124</f>
        <v>0.08248102936324644</v>
      </c>
      <c r="F15" s="250">
        <f>1/12.4393</f>
        <v>0.08039037566422548</v>
      </c>
      <c r="G15" s="250">
        <f>1/13.1219</f>
        <v>0.07620847590669035</v>
      </c>
      <c r="H15" s="250">
        <f>1/12.26</f>
        <v>0.08156606851549755</v>
      </c>
      <c r="I15" s="250">
        <f>1/11.7868</f>
        <v>0.08484066922319884</v>
      </c>
      <c r="J15" s="250">
        <f>1/11.702</f>
        <v>0.08545547769612032</v>
      </c>
      <c r="K15" s="250">
        <f>1/11.6744</f>
        <v>0.08565750702391557</v>
      </c>
      <c r="L15" s="250">
        <f>1/11.3692</f>
        <v>0.08795693628399535</v>
      </c>
      <c r="M15" s="250">
        <f>1/11.3073</f>
        <v>0.08843844242215207</v>
      </c>
      <c r="N15" s="250">
        <f>1/12.5935</f>
        <v>0.07940604279985707</v>
      </c>
      <c r="O15" s="251">
        <f>1/12.6411</f>
        <v>0.07910703973546607</v>
      </c>
      <c r="P15" s="250">
        <f>1/12.1204</f>
        <v>0.08250552787036732</v>
      </c>
      <c r="Q15" s="250">
        <f>1/11.8224</f>
        <v>0.08458519420760591</v>
      </c>
      <c r="R15" s="250">
        <f>1/12.1262</f>
        <v>0.08246606521416437</v>
      </c>
      <c r="S15" s="250">
        <f>1/11.7619</f>
        <v>0.08502027733614466</v>
      </c>
      <c r="T15" s="250">
        <f>1/11.2923</f>
        <v>0.08855591863482197</v>
      </c>
      <c r="U15" s="250">
        <f>1/11.7446</f>
        <v>0.08514551368288405</v>
      </c>
      <c r="V15" s="250">
        <f>1/11.736</f>
        <v>0.08520790729379686</v>
      </c>
      <c r="W15" s="250">
        <f>1/11.5461</f>
        <v>0.08660933128935312</v>
      </c>
      <c r="X15" s="250">
        <f>1/11.2483</f>
        <v>0.08890232301770044</v>
      </c>
      <c r="Y15" s="250">
        <f>1/11.601</f>
        <v>0.0861994655633135</v>
      </c>
      <c r="Z15" s="250">
        <f>1/11.2168</f>
        <v>0.08915198630625491</v>
      </c>
      <c r="AA15" s="250">
        <f>1/11.3535</f>
        <v>0.08807856608094419</v>
      </c>
      <c r="AB15" s="250">
        <f>1/11.8847</f>
        <v>0.08414179575420498</v>
      </c>
      <c r="AC15" s="250">
        <f>1/11.6567</f>
        <v>0.08578757281220242</v>
      </c>
      <c r="AD15" s="250">
        <f>1/11.7446</f>
        <v>0.08514551368288405</v>
      </c>
      <c r="AE15" s="250">
        <f>1/12.282</f>
        <v>0.08141996417521576</v>
      </c>
      <c r="AF15" s="250">
        <f>1/11.7407</f>
        <v>0.08517379713304998</v>
      </c>
      <c r="AG15" s="250">
        <f>1/11.5992</f>
        <v>0.0862128422649838</v>
      </c>
      <c r="AH15" s="250">
        <f>1/11.4978</f>
        <v>0.08697316008279846</v>
      </c>
      <c r="AI15" s="250">
        <f>1/11.5989</f>
        <v>0.08621507211890782</v>
      </c>
      <c r="AJ15" s="250">
        <f>1/11.2213</f>
        <v>0.08911623430440324</v>
      </c>
      <c r="AK15" s="250">
        <f>1/11.1059</f>
        <v>0.0900422298057789</v>
      </c>
      <c r="AL15" s="250">
        <f>1/10.7529</f>
        <v>0.09299816793609166</v>
      </c>
      <c r="AM15" s="250">
        <f>1/10.6948</f>
        <v>0.09350338482253057</v>
      </c>
      <c r="AN15" s="250">
        <f>1/10.907</f>
        <v>0.09168423947923351</v>
      </c>
      <c r="AO15" s="250">
        <f>1/10.7206</f>
        <v>0.09327836128574894</v>
      </c>
      <c r="AP15" s="250">
        <f>1/11.806</f>
        <v>0.08470269354565475</v>
      </c>
      <c r="AQ15" s="250">
        <f>1/12.8291</f>
        <v>0.07794779056987629</v>
      </c>
      <c r="AR15" s="250">
        <f>1/13.0643</f>
        <v>0.07654447616787735</v>
      </c>
      <c r="AS15" s="250">
        <f>1/13.1608</f>
        <v>0.07598322290438271</v>
      </c>
      <c r="AT15" s="250">
        <f>1/13.9706</f>
        <v>0.07157888709146351</v>
      </c>
      <c r="AU15" s="250">
        <f>1/14.3415</f>
        <v>0.069727713279643</v>
      </c>
      <c r="AV15" s="250">
        <f>1/13.8728</f>
        <v>0.07208350152817024</v>
      </c>
      <c r="AW15" s="250">
        <f>1/13.8362</f>
        <v>0.07227417932669375</v>
      </c>
      <c r="AX15" s="250">
        <f>1/14.0828</f>
        <v>0.07100860624307666</v>
      </c>
      <c r="AY15" s="250">
        <f>1/14.0398</f>
        <v>0.07122608584167865</v>
      </c>
      <c r="AZ15" s="250">
        <f>1/14.3044</f>
        <v>0.06990855960403793</v>
      </c>
      <c r="BA15" s="250">
        <f>1/14.1669</f>
        <v>0.07058707268350874</v>
      </c>
      <c r="BB15" s="252">
        <f>1/13.9229</f>
        <v>0.07182411710204052</v>
      </c>
      <c r="BC15" s="252">
        <f>1/14.2416</f>
        <v>0.07021682956971127</v>
      </c>
      <c r="BD15" s="252">
        <f>1/14.1833</f>
        <v>0.07050545359683572</v>
      </c>
      <c r="BE15" s="252">
        <f>1/14.525</f>
        <v>0.06884681583476764</v>
      </c>
      <c r="BF15" s="252">
        <f>1/14.3767</f>
        <v>0.06955699152100274</v>
      </c>
      <c r="BG15" s="252">
        <f>1/13.8408</f>
        <v>0.0722501589503497</v>
      </c>
      <c r="BH15" s="252">
        <f>1/13.8896</f>
        <v>0.07199631378873401</v>
      </c>
      <c r="BI15" s="252">
        <f>1/13.8016</f>
        <v>0.07245536749362393</v>
      </c>
      <c r="BJ15" s="252">
        <f>1/13.7527</f>
        <v>0.0727129945392541</v>
      </c>
      <c r="BK15" s="252">
        <f>1/15.0048</f>
        <v>0.06664534015781617</v>
      </c>
      <c r="BL15" s="252">
        <f>1/15.9805</f>
        <v>0.06257626482275273</v>
      </c>
      <c r="BM15" s="252">
        <f>1/15.4224</f>
        <v>0.06484075111526091</v>
      </c>
      <c r="BN15" s="252">
        <f>1/14.97</f>
        <v>0.0668002672010688</v>
      </c>
      <c r="BO15" s="252">
        <f>1/15.5595</f>
        <v>0.06426941739773129</v>
      </c>
      <c r="BP15" s="252">
        <f>1/15.1886</f>
        <v>0.0658388528238284</v>
      </c>
      <c r="BQ15" s="252">
        <f>1/14.4731</f>
        <v>0.06909369796380872</v>
      </c>
      <c r="BR15" s="252">
        <f>1/14.4452</f>
        <v>0.06922714811840612</v>
      </c>
      <c r="BS15" s="252">
        <f>1/16.3843</f>
        <v>0.06103403868337372</v>
      </c>
      <c r="BT15" s="252">
        <f>1/15.5129</f>
        <v>0.06446247961374083</v>
      </c>
      <c r="BU15" s="247">
        <f>1/14.8107</f>
        <v>0.06751875333373844</v>
      </c>
      <c r="BV15" s="247">
        <f>1/14.2861</f>
        <v>0.06999811005102863</v>
      </c>
      <c r="BW15" s="248">
        <f>1/14.4064</f>
        <v>0.06941359395824079</v>
      </c>
      <c r="BX15" s="248">
        <f>1/14.2015</f>
        <v>0.07041509699679611</v>
      </c>
      <c r="BY15" s="248">
        <f>1/13.2668</f>
        <v>0.07537612687309675</v>
      </c>
      <c r="BZ15" s="248">
        <f>1/12.91</f>
        <v>0.07745933384972889</v>
      </c>
      <c r="CA15" s="248">
        <v>0.07586274911430241</v>
      </c>
      <c r="CB15" s="248">
        <f>1/13.0024</f>
        <v>0.07690887836091799</v>
      </c>
      <c r="CC15" s="248">
        <f>1/13.1249</f>
        <v>0.07619105669376529</v>
      </c>
      <c r="CD15" s="248">
        <f>1/12.2854</f>
        <v>0.08139743109707458</v>
      </c>
      <c r="CE15" s="248">
        <f>1/12.2854</f>
        <v>0.08139743109707458</v>
      </c>
      <c r="CF15" s="248">
        <f>1/12.45388</f>
        <v>0.08029626108489885</v>
      </c>
      <c r="CG15" s="248">
        <v>0.0822</v>
      </c>
    </row>
    <row r="16" spans="2:85" ht="19.5" customHeight="1">
      <c r="B16" s="218" t="s">
        <v>34</v>
      </c>
      <c r="C16" s="249"/>
      <c r="D16" s="249">
        <f>1/0.0679</f>
        <v>14.727540500736376</v>
      </c>
      <c r="E16" s="249">
        <f>1/0.0642</f>
        <v>15.576323987538942</v>
      </c>
      <c r="F16" s="250">
        <f>1/0.0654</f>
        <v>15.290519877675841</v>
      </c>
      <c r="G16" s="250">
        <f>1/0.0668</f>
        <v>14.970059880239521</v>
      </c>
      <c r="H16" s="250">
        <f>1/0.0636</f>
        <v>15.723270440251572</v>
      </c>
      <c r="I16" s="250">
        <f>1/0.0622</f>
        <v>16.077170418006432</v>
      </c>
      <c r="J16" s="250">
        <f>1/0.0636</f>
        <v>15.723270440251572</v>
      </c>
      <c r="K16" s="250">
        <f>1/0.0636</f>
        <v>15.723270440251572</v>
      </c>
      <c r="L16" s="250">
        <f>1/0.0616</f>
        <v>16.233766233766232</v>
      </c>
      <c r="M16" s="250">
        <f>1/0.0604</f>
        <v>16.556291390728475</v>
      </c>
      <c r="N16" s="250">
        <f>1/0.065</f>
        <v>15.384615384615383</v>
      </c>
      <c r="O16" s="251">
        <f>1/0.0695</f>
        <v>14.388489208633093</v>
      </c>
      <c r="P16" s="250">
        <f>1/0.0611</f>
        <v>16.366612111292962</v>
      </c>
      <c r="Q16" s="250">
        <f>1/0.061</f>
        <v>16.39344262295082</v>
      </c>
      <c r="R16" s="250">
        <f>1/0.0606</f>
        <v>16.5016501650165</v>
      </c>
      <c r="S16" s="250">
        <f>1/0.0588</f>
        <v>17.006802721088437</v>
      </c>
      <c r="T16" s="250">
        <f>1/0.0561</f>
        <v>17.825311942959004</v>
      </c>
      <c r="U16" s="250">
        <f>1/0.0505</f>
        <v>19.801980198019802</v>
      </c>
      <c r="V16" s="250">
        <f>1/0.0595</f>
        <v>16.80672268907563</v>
      </c>
      <c r="W16" s="250">
        <f>1/0.0587</f>
        <v>17.035775127768314</v>
      </c>
      <c r="X16" s="250">
        <f>1/0.0578</f>
        <v>17.301038062283737</v>
      </c>
      <c r="Y16" s="250">
        <f>1/0.052</f>
        <v>19.23076923076923</v>
      </c>
      <c r="Z16" s="250">
        <f>1/0.0578</f>
        <v>17.301038062283737</v>
      </c>
      <c r="AA16" s="250">
        <f>1/0.0574</f>
        <v>17.421602787456447</v>
      </c>
      <c r="AB16" s="250">
        <f>1/0.0572</f>
        <v>17.482517482517483</v>
      </c>
      <c r="AC16" s="250">
        <f>1/0.0572</f>
        <v>17.482517482517483</v>
      </c>
      <c r="AD16" s="250">
        <f>1/0.0594</f>
        <v>16.835016835016834</v>
      </c>
      <c r="AE16" s="250">
        <f>1/0.0621</f>
        <v>16.10305958132045</v>
      </c>
      <c r="AF16" s="250">
        <f>1/0.0599</f>
        <v>16.69449081803005</v>
      </c>
      <c r="AG16" s="250">
        <f>1/0.0585</f>
        <v>17.094017094017094</v>
      </c>
      <c r="AH16" s="250">
        <f>1/0.0573</f>
        <v>17.452006980802793</v>
      </c>
      <c r="AI16" s="250">
        <f>1/0.0573</f>
        <v>17.452006980802793</v>
      </c>
      <c r="AJ16" s="250">
        <f>1/0.0545</f>
        <v>18.34862385321101</v>
      </c>
      <c r="AK16" s="250">
        <f>1/0.0536</f>
        <v>18.65671641791045</v>
      </c>
      <c r="AL16" s="250">
        <f>1/0.0528</f>
        <v>18.93939393939394</v>
      </c>
      <c r="AM16" s="250">
        <f>1/0.0519</f>
        <v>19.267822736030826</v>
      </c>
      <c r="AN16" s="250">
        <f>1/0.0533</f>
        <v>18.76172607879925</v>
      </c>
      <c r="AO16" s="250">
        <f>1/0.0518</f>
        <v>19.305019305019304</v>
      </c>
      <c r="AP16" s="250">
        <f>1/0.0566</f>
        <v>17.6678445229682</v>
      </c>
      <c r="AQ16" s="250">
        <f>1/0.0607</f>
        <v>16.474464579901156</v>
      </c>
      <c r="AR16" s="250">
        <f>1/0.0613</f>
        <v>16.31321370309951</v>
      </c>
      <c r="AS16" s="250">
        <f>1/0.06</f>
        <v>16.666666666666668</v>
      </c>
      <c r="AT16" s="250">
        <f>1/0.0633</f>
        <v>15.797788309636653</v>
      </c>
      <c r="AU16" s="250">
        <f>1/0.0645</f>
        <v>15.503875968992247</v>
      </c>
      <c r="AV16" s="250">
        <f>1/0.0619</f>
        <v>16.155088852988694</v>
      </c>
      <c r="AW16" s="250">
        <f>1/0.0601</f>
        <v>16.638935108153078</v>
      </c>
      <c r="AX16" s="250">
        <f>1/0.0597</f>
        <v>16.75041876046901</v>
      </c>
      <c r="AY16" s="250">
        <f>1/0.0595</f>
        <v>16.80672268907563</v>
      </c>
      <c r="AZ16" s="250">
        <f>1/0.0627</f>
        <v>15.948963317384369</v>
      </c>
      <c r="BA16" s="250">
        <f>1/0.06</f>
        <v>16.666666666666668</v>
      </c>
      <c r="BB16" s="252">
        <f>1/0.0581</f>
        <v>17.21170395869191</v>
      </c>
      <c r="BC16" s="252">
        <f>1/0.0585</f>
        <v>17.094017094017094</v>
      </c>
      <c r="BD16" s="252">
        <f>1/0.0574</f>
        <v>17.421602787456447</v>
      </c>
      <c r="BE16" s="252">
        <f>1/0.062</f>
        <v>16.129032258064516</v>
      </c>
      <c r="BF16" s="252">
        <f>1/0.062</f>
        <v>16.129032258064516</v>
      </c>
      <c r="BG16" s="252">
        <f>1/0.0585</f>
        <v>17.094017094017094</v>
      </c>
      <c r="BH16" s="252">
        <f>1/0.0603</f>
        <v>16.58374792703151</v>
      </c>
      <c r="BI16" s="252">
        <f>1/0.0609</f>
        <v>16.420361247947454</v>
      </c>
      <c r="BJ16" s="252">
        <f>1/0.0647</f>
        <v>15.45595054095827</v>
      </c>
      <c r="BK16" s="252">
        <f>1/0.0713</f>
        <v>14.025245441795231</v>
      </c>
      <c r="BL16" s="252">
        <f>1/0.0791</f>
        <v>12.642225031605562</v>
      </c>
      <c r="BM16" s="252">
        <f>1/0.0761</f>
        <v>13.140604467805518</v>
      </c>
      <c r="BN16" s="252">
        <f>1/0.0732</f>
        <v>13.66120218579235</v>
      </c>
      <c r="BO16" s="252">
        <f>1/0.0742</f>
        <v>13.477088948787062</v>
      </c>
      <c r="BP16" s="252">
        <f>1/0.0716</f>
        <v>13.966480446927374</v>
      </c>
      <c r="BQ16" s="252">
        <f>1/0.0701</f>
        <v>14.265335235378032</v>
      </c>
      <c r="BR16" s="252">
        <f>1/0.0754</f>
        <v>13.262599469496022</v>
      </c>
      <c r="BS16" s="252">
        <f>1/0.0964</f>
        <v>10.37344398340249</v>
      </c>
      <c r="BT16" s="252">
        <f>1/0.1044</f>
        <v>9.578544061302681</v>
      </c>
      <c r="BU16" s="247">
        <f>1/0.1091</f>
        <v>9.165902841429881</v>
      </c>
      <c r="BV16" s="247">
        <f>1/0.1095</f>
        <v>9.132420091324201</v>
      </c>
      <c r="BW16" s="248">
        <f>1/0.1083</f>
        <v>9.233610341643583</v>
      </c>
      <c r="BX16" s="248">
        <f>1/0.1023</f>
        <v>9.775171065493646</v>
      </c>
      <c r="BY16" s="248">
        <f>1/0.0913</f>
        <v>10.952902519167578</v>
      </c>
      <c r="BZ16" s="248">
        <f>1/0.0866</f>
        <v>11.547344110854503</v>
      </c>
      <c r="CA16" s="248">
        <v>11.990407673860911</v>
      </c>
      <c r="CB16" s="248">
        <f>1/0.0841</f>
        <v>11.890606420927469</v>
      </c>
      <c r="CC16" s="248">
        <f>1/0.0838</f>
        <v>11.933174224343675</v>
      </c>
      <c r="CD16" s="248">
        <f>1/0.0823</f>
        <v>12.150668286755772</v>
      </c>
      <c r="CE16" s="248">
        <f>1/0.0823</f>
        <v>12.150668286755772</v>
      </c>
      <c r="CF16" s="248">
        <v>11.8811</v>
      </c>
      <c r="CG16" s="248">
        <v>11.976</v>
      </c>
    </row>
    <row r="17" spans="2:85" ht="19.5" customHeight="1" hidden="1">
      <c r="B17" s="218" t="s">
        <v>34</v>
      </c>
      <c r="C17" s="253"/>
      <c r="D17" s="253"/>
      <c r="E17" s="253"/>
      <c r="F17" s="221"/>
      <c r="G17" s="221"/>
      <c r="H17" s="221"/>
      <c r="I17" s="221"/>
      <c r="J17" s="221"/>
      <c r="K17" s="221"/>
      <c r="L17" s="221"/>
      <c r="M17" s="221"/>
      <c r="N17" s="221"/>
      <c r="O17" s="223"/>
      <c r="P17" s="224"/>
      <c r="Q17" s="221"/>
      <c r="R17" s="224"/>
      <c r="S17" s="224"/>
      <c r="T17" s="224"/>
      <c r="U17" s="224"/>
      <c r="V17" s="224"/>
      <c r="W17" s="224"/>
      <c r="X17" s="224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52">
        <f>1/0.0742</f>
        <v>13.477088948787062</v>
      </c>
      <c r="BP17" s="252">
        <f>1/0.0716</f>
        <v>13.966480446927374</v>
      </c>
      <c r="BQ17" s="252">
        <f>1/0.0701</f>
        <v>14.265335235378032</v>
      </c>
      <c r="BR17" s="252">
        <f>1/0.0754</f>
        <v>13.262599469496022</v>
      </c>
      <c r="BS17" s="252">
        <f>1/0.0964</f>
        <v>10.37344398340249</v>
      </c>
      <c r="BT17" s="252">
        <f>1/0.1044</f>
        <v>9.578544061302681</v>
      </c>
      <c r="BU17" s="247">
        <f>1/0.1091</f>
        <v>9.165902841429881</v>
      </c>
      <c r="BV17" s="247">
        <f>1/0.1095</f>
        <v>9.132420091324201</v>
      </c>
      <c r="BW17" s="248">
        <f>1/0.1083</f>
        <v>9.233610341643583</v>
      </c>
      <c r="BX17" s="248">
        <f>1/0.1023</f>
        <v>9.775171065493646</v>
      </c>
      <c r="BY17" s="248">
        <f>1/0.0913</f>
        <v>10.952902519167578</v>
      </c>
      <c r="BZ17" s="248">
        <f>1/0.0866</f>
        <v>11.547344110854503</v>
      </c>
      <c r="CA17" s="248">
        <v>12.9904076738609</v>
      </c>
      <c r="CB17" s="248">
        <f>1/0.0841</f>
        <v>11.890606420927469</v>
      </c>
      <c r="CC17" s="248"/>
      <c r="CD17" s="248"/>
      <c r="CE17" s="248"/>
      <c r="CF17" s="248"/>
      <c r="CG17" s="248"/>
    </row>
    <row r="18" spans="2:85" ht="19.5" customHeight="1">
      <c r="B18" s="254" t="s">
        <v>157</v>
      </c>
      <c r="C18" s="255"/>
      <c r="D18" s="255"/>
      <c r="E18" s="256"/>
      <c r="F18" s="257"/>
      <c r="G18" s="257"/>
      <c r="H18" s="257"/>
      <c r="I18" s="258"/>
      <c r="J18" s="258"/>
      <c r="K18" s="257"/>
      <c r="L18" s="257"/>
      <c r="M18" s="259"/>
      <c r="N18" s="258"/>
      <c r="O18" s="259"/>
      <c r="P18" s="260"/>
      <c r="Q18" s="257"/>
      <c r="R18" s="260"/>
      <c r="S18" s="260"/>
      <c r="T18" s="261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52"/>
      <c r="BP18" s="252">
        <f>1/12.0494</f>
        <v>0.08299168423323983</v>
      </c>
      <c r="BQ18" s="252">
        <f>1/11.4757</f>
        <v>0.08714065372918428</v>
      </c>
      <c r="BR18" s="252">
        <f>1/11.5514</f>
        <v>0.0865695932960507</v>
      </c>
      <c r="BS18" s="252">
        <f>1/12.9051</f>
        <v>0.07748874475982365</v>
      </c>
      <c r="BT18" s="252">
        <f>1/12.881</f>
        <v>0.07763372408974459</v>
      </c>
      <c r="BU18" s="247">
        <f>1/13.3723</f>
        <v>0.07478145120884216</v>
      </c>
      <c r="BV18" s="247">
        <f>1/13.13</f>
        <v>0.07616146230007616</v>
      </c>
      <c r="BW18" s="248">
        <f>1/12.8058</f>
        <v>0.07808961564291181</v>
      </c>
      <c r="BX18" s="248">
        <f>1/13.0511</f>
        <v>0.07662189393997441</v>
      </c>
      <c r="BY18" s="248">
        <f>1/11.9135</f>
        <v>0.08393838922231082</v>
      </c>
      <c r="BZ18" s="248">
        <f>1/11.4253</f>
        <v>0.08752505404672087</v>
      </c>
      <c r="CA18" s="248">
        <f>1/11.2957</f>
        <v>0.08852926334799968</v>
      </c>
      <c r="CB18" s="248">
        <f>1/11.1974</f>
        <v>0.08930644613928233</v>
      </c>
      <c r="CC18" s="248">
        <f>1/11.3256</f>
        <v>0.08829554284099739</v>
      </c>
      <c r="CD18" s="248">
        <f>1/10.9465</f>
        <v>0.09135340063033846</v>
      </c>
      <c r="CE18" s="248">
        <f>1/10.9465</f>
        <v>0.09135340063033846</v>
      </c>
      <c r="CF18" s="248">
        <f>1/11.19337</f>
        <v>0.08933859954598124</v>
      </c>
      <c r="CG18" s="248">
        <v>0.0914</v>
      </c>
    </row>
    <row r="19" spans="2:85" ht="19.5" customHeight="1">
      <c r="B19" s="262" t="s">
        <v>36</v>
      </c>
      <c r="C19" s="255"/>
      <c r="D19" s="255"/>
      <c r="E19" s="263"/>
      <c r="F19" s="257"/>
      <c r="G19" s="257"/>
      <c r="H19" s="257"/>
      <c r="I19" s="260"/>
      <c r="J19" s="260"/>
      <c r="K19" s="257"/>
      <c r="L19" s="257"/>
      <c r="M19" s="264"/>
      <c r="N19" s="260"/>
      <c r="O19" s="259"/>
      <c r="P19" s="260"/>
      <c r="Q19" s="257"/>
      <c r="R19" s="260"/>
      <c r="S19" s="260"/>
      <c r="T19" s="261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</row>
    <row r="20" spans="2:85" ht="19.5" customHeight="1" thickBot="1">
      <c r="B20" s="266" t="s">
        <v>35</v>
      </c>
      <c r="C20" s="267"/>
      <c r="D20" s="267"/>
      <c r="E20" s="268"/>
      <c r="F20" s="269"/>
      <c r="G20" s="269"/>
      <c r="H20" s="269"/>
      <c r="I20" s="270"/>
      <c r="J20" s="270"/>
      <c r="K20" s="269"/>
      <c r="L20" s="269"/>
      <c r="M20" s="271"/>
      <c r="N20" s="270"/>
      <c r="O20" s="272"/>
      <c r="P20" s="270"/>
      <c r="Q20" s="269"/>
      <c r="R20" s="270"/>
      <c r="S20" s="270"/>
      <c r="T20" s="273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</row>
    <row r="21" ht="19.5" customHeight="1">
      <c r="B21" s="192" t="s">
        <v>102</v>
      </c>
    </row>
    <row r="22" spans="75:79" ht="19.5" customHeight="1">
      <c r="BW22" s="199"/>
      <c r="BX22" s="199"/>
      <c r="BY22" s="199"/>
      <c r="BZ22" s="199"/>
      <c r="CA22" s="199"/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69"/>
  <sheetViews>
    <sheetView showGridLines="0" zoomScale="93" zoomScaleNormal="93" zoomScaleSheetLayoutView="50" workbookViewId="0" topLeftCell="A24">
      <selection activeCell="A3" sqref="A3:N52"/>
    </sheetView>
  </sheetViews>
  <sheetFormatPr defaultColWidth="9.140625" defaultRowHeight="12"/>
  <cols>
    <col min="11" max="11" width="8.7109375" style="0" customWidth="1"/>
  </cols>
  <sheetData>
    <row r="2" spans="1:15" ht="12.7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8">
      <c r="A4" s="299" t="s">
        <v>160</v>
      </c>
      <c r="B4" s="299"/>
      <c r="C4" s="299"/>
      <c r="D4" s="299"/>
      <c r="E4" s="299"/>
      <c r="F4" s="299"/>
      <c r="G4" s="299"/>
      <c r="H4" s="299"/>
      <c r="I4" s="299"/>
      <c r="J4" s="299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">
      <c r="A30" s="299" t="s">
        <v>167</v>
      </c>
      <c r="B30" s="299" t="s">
        <v>166</v>
      </c>
      <c r="C30" s="299"/>
      <c r="D30" s="299"/>
      <c r="E30" s="299"/>
      <c r="F30" s="299"/>
      <c r="G30" s="299"/>
      <c r="H30" s="299"/>
      <c r="I30" s="299"/>
      <c r="J30" s="299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1:15" ht="12.75"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1:15" ht="12.75">
      <c r="K42" s="15"/>
      <c r="L42" s="15"/>
      <c r="M42" s="15"/>
      <c r="N42" s="15"/>
      <c r="O42" s="15"/>
    </row>
    <row r="43" spans="1:15" ht="12.75">
      <c r="A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L51" s="15"/>
      <c r="M51" s="15"/>
      <c r="N51" s="15"/>
      <c r="O51" s="15"/>
    </row>
    <row r="52" spans="1:21" ht="20.25">
      <c r="A52" s="15"/>
      <c r="B52" s="15"/>
      <c r="C52" s="167"/>
      <c r="H52" s="15"/>
      <c r="I52" s="15"/>
      <c r="J52" s="15"/>
      <c r="K52" s="15"/>
      <c r="L52" s="15"/>
      <c r="M52" s="15"/>
      <c r="N52" s="15"/>
      <c r="O52" s="15"/>
      <c r="U52" t="s">
        <v>119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1:15" ht="20.25">
      <c r="K57" s="274"/>
      <c r="L57" s="15"/>
      <c r="M57" s="15"/>
      <c r="N57" s="15"/>
      <c r="O57" s="15"/>
    </row>
    <row r="58" spans="1:15" ht="20.25">
      <c r="A58" s="15"/>
      <c r="B58" s="15"/>
      <c r="C58" s="15"/>
      <c r="D58" s="167"/>
      <c r="E58" s="167"/>
      <c r="F58" s="167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sheetProtection/>
  <mergeCells count="3">
    <mergeCell ref="A2:J2"/>
    <mergeCell ref="A4:J4"/>
    <mergeCell ref="A30:J30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73">
      <selection activeCell="B1" sqref="B1:K101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119</v>
      </c>
    </row>
    <row r="2" spans="1:11" ht="11.25">
      <c r="A2" s="105"/>
      <c r="B2" s="302" t="s">
        <v>75</v>
      </c>
      <c r="C2" s="303"/>
      <c r="D2" s="303"/>
      <c r="E2" s="303"/>
      <c r="F2" s="303"/>
      <c r="G2" s="303"/>
      <c r="H2" s="303"/>
      <c r="I2" s="303"/>
      <c r="J2" s="303"/>
      <c r="K2" s="304"/>
    </row>
    <row r="3" spans="1:11" ht="11.25">
      <c r="A3" s="105"/>
      <c r="B3" s="305" t="s">
        <v>112</v>
      </c>
      <c r="C3" s="283"/>
      <c r="D3" s="283"/>
      <c r="E3" s="283"/>
      <c r="F3" s="283"/>
      <c r="G3" s="283"/>
      <c r="H3" s="283"/>
      <c r="I3" s="283"/>
      <c r="J3" s="283"/>
      <c r="K3" s="306"/>
    </row>
    <row r="4" spans="1:11" ht="11.25">
      <c r="A4" s="105"/>
      <c r="B4" s="107"/>
      <c r="C4" s="69"/>
      <c r="D4" s="43"/>
      <c r="E4" s="69"/>
      <c r="F4" s="280" t="s">
        <v>107</v>
      </c>
      <c r="G4" s="281"/>
      <c r="H4" s="127" t="s">
        <v>127</v>
      </c>
      <c r="I4" s="280" t="s">
        <v>128</v>
      </c>
      <c r="J4" s="300"/>
      <c r="K4" s="301"/>
    </row>
    <row r="5" spans="1:11" ht="11.25">
      <c r="A5" s="105"/>
      <c r="B5" s="108"/>
      <c r="C5" s="12">
        <v>39783</v>
      </c>
      <c r="D5" s="68">
        <v>40118</v>
      </c>
      <c r="E5" s="68">
        <v>40148</v>
      </c>
      <c r="F5" s="12" t="s">
        <v>158</v>
      </c>
      <c r="G5" s="59" t="s">
        <v>159</v>
      </c>
      <c r="H5" s="59" t="s">
        <v>158</v>
      </c>
      <c r="I5" s="12">
        <v>40087</v>
      </c>
      <c r="J5" s="12">
        <v>40118</v>
      </c>
      <c r="K5" s="12">
        <v>40148</v>
      </c>
    </row>
    <row r="6" spans="1:12" ht="11.25">
      <c r="A6" s="105"/>
      <c r="B6" s="109" t="s">
        <v>53</v>
      </c>
      <c r="C6" s="143">
        <v>13162.971758910002</v>
      </c>
      <c r="D6" s="143">
        <v>14794.177942699998</v>
      </c>
      <c r="E6" s="143">
        <v>14216.638697730003</v>
      </c>
      <c r="F6" s="143">
        <v>-577.5392449699957</v>
      </c>
      <c r="G6" s="143">
        <v>1053.6669388200007</v>
      </c>
      <c r="H6" s="144">
        <v>-3.9038278923431173</v>
      </c>
      <c r="I6" s="144">
        <v>15.293409940098313</v>
      </c>
      <c r="J6" s="144">
        <v>14.314952013705518</v>
      </c>
      <c r="K6" s="176">
        <v>8.004780061210525</v>
      </c>
      <c r="L6" s="54"/>
    </row>
    <row r="7" spans="1:12" ht="11.25">
      <c r="A7" s="105"/>
      <c r="B7" s="109" t="s">
        <v>142</v>
      </c>
      <c r="C7" s="143">
        <v>12977.048669330003</v>
      </c>
      <c r="D7" s="143">
        <v>14657.263896069999</v>
      </c>
      <c r="E7" s="143">
        <v>14158.497767110002</v>
      </c>
      <c r="F7" s="143">
        <v>-498.7661289599964</v>
      </c>
      <c r="G7" s="143">
        <v>1181.4490977799996</v>
      </c>
      <c r="H7" s="144">
        <v>-3.402859718543574</v>
      </c>
      <c r="I7" s="144">
        <v>16.101593221578693</v>
      </c>
      <c r="J7" s="144">
        <v>14.115439630229787</v>
      </c>
      <c r="K7" s="176">
        <v>9.104143229209294</v>
      </c>
      <c r="L7" s="54"/>
    </row>
    <row r="8" spans="1:12" ht="11.25">
      <c r="A8" s="105"/>
      <c r="B8" s="110" t="s">
        <v>54</v>
      </c>
      <c r="C8" s="145">
        <v>6587.16790035</v>
      </c>
      <c r="D8" s="145">
        <v>12839.09563061</v>
      </c>
      <c r="E8" s="145">
        <v>12352.803276200002</v>
      </c>
      <c r="F8" s="145">
        <v>-486.29235440999764</v>
      </c>
      <c r="G8" s="145">
        <v>5765.635375850002</v>
      </c>
      <c r="H8" s="146">
        <v>-3.7875904066842234</v>
      </c>
      <c r="I8" s="146">
        <v>97.9906752685821</v>
      </c>
      <c r="J8" s="146">
        <v>124.83906519984318</v>
      </c>
      <c r="K8" s="177">
        <v>87.528289290207</v>
      </c>
      <c r="L8" s="54"/>
    </row>
    <row r="9" spans="1:12" ht="11.25">
      <c r="A9" s="105"/>
      <c r="B9" s="110" t="s">
        <v>55</v>
      </c>
      <c r="C9" s="145">
        <v>6200.907431850001</v>
      </c>
      <c r="D9" s="145">
        <v>-1E-08</v>
      </c>
      <c r="E9" s="145">
        <v>-2E-08</v>
      </c>
      <c r="F9" s="145">
        <v>-1E-08</v>
      </c>
      <c r="G9" s="145">
        <v>-6200.90743187</v>
      </c>
      <c r="H9" s="146">
        <v>100</v>
      </c>
      <c r="I9" s="146">
        <v>-99.99999999984614</v>
      </c>
      <c r="J9" s="146">
        <v>-100.0000000001459</v>
      </c>
      <c r="K9" s="177">
        <v>-100.00000000032254</v>
      </c>
      <c r="L9" s="54"/>
    </row>
    <row r="10" spans="1:12" ht="11.25">
      <c r="A10" s="105"/>
      <c r="B10" s="110" t="s">
        <v>56</v>
      </c>
      <c r="C10" s="145">
        <v>188.97333712999998</v>
      </c>
      <c r="D10" s="145">
        <v>1818.1682654699998</v>
      </c>
      <c r="E10" s="145">
        <v>1805.6944909299998</v>
      </c>
      <c r="F10" s="145">
        <v>-12.473774540000022</v>
      </c>
      <c r="G10" s="145">
        <v>1616.7211538</v>
      </c>
      <c r="H10" s="146">
        <v>-0.686062713605637</v>
      </c>
      <c r="I10" s="146">
        <v>763.2831396687036</v>
      </c>
      <c r="J10" s="146">
        <v>549.8600432790472</v>
      </c>
      <c r="K10" s="177">
        <v>855.5287102157765</v>
      </c>
      <c r="L10" s="54"/>
    </row>
    <row r="11" spans="1:12" ht="11.25">
      <c r="A11" s="105"/>
      <c r="B11" s="109" t="s">
        <v>57</v>
      </c>
      <c r="C11" s="143">
        <v>185.92308958000004</v>
      </c>
      <c r="D11" s="143">
        <v>136.91404663</v>
      </c>
      <c r="E11" s="143">
        <v>58.14093062</v>
      </c>
      <c r="F11" s="143">
        <v>-78.77311601</v>
      </c>
      <c r="G11" s="143">
        <v>-127.78215896000003</v>
      </c>
      <c r="H11" s="144">
        <v>-57.53472192877219</v>
      </c>
      <c r="I11" s="144">
        <v>-18.171807141603523</v>
      </c>
      <c r="J11" s="144">
        <v>40.63776555816452</v>
      </c>
      <c r="K11" s="176">
        <v>-68.7285044846553</v>
      </c>
      <c r="L11" s="54"/>
    </row>
    <row r="12" spans="1:12" ht="11.25">
      <c r="A12" s="105"/>
      <c r="B12" s="110" t="s">
        <v>97</v>
      </c>
      <c r="C12" s="145">
        <v>162.44831196</v>
      </c>
      <c r="D12" s="145">
        <v>115.71343486</v>
      </c>
      <c r="E12" s="145">
        <v>36.71332376</v>
      </c>
      <c r="F12" s="145">
        <v>-79.0001111</v>
      </c>
      <c r="G12" s="145">
        <v>-125.7349882</v>
      </c>
      <c r="H12" s="146">
        <v>-68.27220296033998</v>
      </c>
      <c r="I12" s="146">
        <v>-18.94043134840011</v>
      </c>
      <c r="J12" s="146">
        <v>57.47956653993938</v>
      </c>
      <c r="K12" s="177">
        <v>-77.39999676386911</v>
      </c>
      <c r="L12" s="54"/>
    </row>
    <row r="13" spans="1:12" ht="11.25">
      <c r="A13" s="105"/>
      <c r="B13" s="110" t="s">
        <v>76</v>
      </c>
      <c r="C13" s="145">
        <v>0.03722773</v>
      </c>
      <c r="D13" s="145">
        <v>0.03722773</v>
      </c>
      <c r="E13" s="145">
        <v>0.03722773</v>
      </c>
      <c r="F13" s="145">
        <v>0</v>
      </c>
      <c r="G13" s="145">
        <v>0</v>
      </c>
      <c r="H13" s="146">
        <v>0</v>
      </c>
      <c r="I13" s="146">
        <v>7.124364831544905</v>
      </c>
      <c r="J13" s="146">
        <v>4.267212719398028</v>
      </c>
      <c r="K13" s="177">
        <v>4.534240247435317</v>
      </c>
      <c r="L13" s="54"/>
    </row>
    <row r="14" spans="1:12" ht="11.25">
      <c r="A14" s="105"/>
      <c r="B14" s="110" t="s">
        <v>58</v>
      </c>
      <c r="C14" s="145">
        <v>23.437549890000003</v>
      </c>
      <c r="D14" s="145">
        <v>21.16338404</v>
      </c>
      <c r="E14" s="145">
        <v>21.39037913</v>
      </c>
      <c r="F14" s="145">
        <v>0.22699508999999907</v>
      </c>
      <c r="G14" s="145">
        <v>-2.0471707600000038</v>
      </c>
      <c r="H14" s="146">
        <v>1.0725840894394083</v>
      </c>
      <c r="I14" s="146">
        <v>0</v>
      </c>
      <c r="J14" s="146">
        <v>0</v>
      </c>
      <c r="K14" s="177">
        <v>-8.734576649897441</v>
      </c>
      <c r="L14" s="54"/>
    </row>
    <row r="15" spans="1:12" ht="11.25">
      <c r="A15" s="105"/>
      <c r="B15" s="111"/>
      <c r="C15" s="143"/>
      <c r="D15" s="143"/>
      <c r="E15" s="143"/>
      <c r="F15" s="143"/>
      <c r="G15" s="143"/>
      <c r="H15" s="144"/>
      <c r="I15" s="144"/>
      <c r="J15" s="144"/>
      <c r="K15" s="176"/>
      <c r="L15" s="54"/>
    </row>
    <row r="16" spans="1:12" ht="11.25">
      <c r="A16" s="105"/>
      <c r="B16" s="109" t="s">
        <v>59</v>
      </c>
      <c r="C16" s="143">
        <v>13162.957674559992</v>
      </c>
      <c r="D16" s="143">
        <v>14794.176629360003</v>
      </c>
      <c r="E16" s="143">
        <v>14216.598300170002</v>
      </c>
      <c r="F16" s="143">
        <v>-577.5783291900007</v>
      </c>
      <c r="G16" s="143">
        <v>1053.6406256100108</v>
      </c>
      <c r="H16" s="144">
        <v>-3.9040924254193303</v>
      </c>
      <c r="I16" s="144">
        <v>15.293481276435529</v>
      </c>
      <c r="J16" s="144">
        <v>14.315180513812908</v>
      </c>
      <c r="K16" s="176">
        <v>8.004588722839845</v>
      </c>
      <c r="L16" s="54"/>
    </row>
    <row r="17" spans="1:12" ht="11.25">
      <c r="A17" s="105"/>
      <c r="B17" s="109" t="s">
        <v>60</v>
      </c>
      <c r="C17" s="143">
        <v>3101.0952213099927</v>
      </c>
      <c r="D17" s="143">
        <v>4165.200679340003</v>
      </c>
      <c r="E17" s="143">
        <v>4062.9633101100017</v>
      </c>
      <c r="F17" s="143">
        <v>-102.2373692300016</v>
      </c>
      <c r="G17" s="143">
        <v>961.868088800009</v>
      </c>
      <c r="H17" s="144">
        <v>-2.454560466608817</v>
      </c>
      <c r="I17" s="146">
        <v>45.44799892183469</v>
      </c>
      <c r="J17" s="146">
        <v>52.79461584364744</v>
      </c>
      <c r="K17" s="176">
        <v>31.017044629596647</v>
      </c>
      <c r="L17" s="54"/>
    </row>
    <row r="18" spans="1:12" ht="11.25">
      <c r="A18" s="105"/>
      <c r="B18" s="110" t="s">
        <v>61</v>
      </c>
      <c r="C18" s="145">
        <v>1656.92792655</v>
      </c>
      <c r="D18" s="145">
        <v>1652.1914814000002</v>
      </c>
      <c r="E18" s="145">
        <v>1705.3584346</v>
      </c>
      <c r="F18" s="145">
        <v>53.16695319999985</v>
      </c>
      <c r="G18" s="145">
        <v>48.43050805000007</v>
      </c>
      <c r="H18" s="146">
        <v>3.2179655807781025</v>
      </c>
      <c r="I18" s="146">
        <v>2.2012875306110624</v>
      </c>
      <c r="J18" s="146">
        <v>5.211157252627574</v>
      </c>
      <c r="K18" s="177">
        <v>2.922909758111225</v>
      </c>
      <c r="L18" s="54"/>
    </row>
    <row r="19" spans="1:12" ht="11.25">
      <c r="A19" s="105"/>
      <c r="B19" s="110" t="s">
        <v>62</v>
      </c>
      <c r="C19" s="145">
        <v>1444.167294759993</v>
      </c>
      <c r="D19" s="145">
        <v>2513.0091979400036</v>
      </c>
      <c r="E19" s="145">
        <v>2357.6048755100014</v>
      </c>
      <c r="F19" s="145">
        <v>-155.40432243000214</v>
      </c>
      <c r="G19" s="145">
        <v>913.4375807500085</v>
      </c>
      <c r="H19" s="146">
        <v>-6.183993379625996</v>
      </c>
      <c r="I19" s="146">
        <v>100.72593075331282</v>
      </c>
      <c r="J19" s="146">
        <v>117.45322560087939</v>
      </c>
      <c r="K19" s="177">
        <v>63.25012234138796</v>
      </c>
      <c r="L19" s="54"/>
    </row>
    <row r="20" spans="1:12" ht="11.25">
      <c r="A20" s="105"/>
      <c r="B20" s="109" t="s">
        <v>98</v>
      </c>
      <c r="C20" s="143">
        <v>10082.02287411</v>
      </c>
      <c r="D20" s="143">
        <v>9148.43029286</v>
      </c>
      <c r="E20" s="143">
        <v>8669.990767220002</v>
      </c>
      <c r="F20" s="143">
        <v>-478.43952563999665</v>
      </c>
      <c r="G20" s="143">
        <v>-1412.0321068899975</v>
      </c>
      <c r="H20" s="144">
        <v>-5.229744451497876</v>
      </c>
      <c r="I20" s="144">
        <v>-5.0241714400146575</v>
      </c>
      <c r="J20" s="144">
        <v>-10.534873609422323</v>
      </c>
      <c r="K20" s="176">
        <v>-14.005444388705035</v>
      </c>
      <c r="L20" s="54"/>
    </row>
    <row r="21" spans="1:12" ht="11.25">
      <c r="A21" s="105"/>
      <c r="B21" s="110" t="s">
        <v>143</v>
      </c>
      <c r="C21" s="145">
        <v>6664.4064600599995</v>
      </c>
      <c r="D21" s="145">
        <v>7186.655994399999</v>
      </c>
      <c r="E21" s="145">
        <v>6966.584972030002</v>
      </c>
      <c r="F21" s="145">
        <v>-220.07102236999708</v>
      </c>
      <c r="G21" s="145">
        <v>302.17851197000255</v>
      </c>
      <c r="H21" s="146">
        <v>-3.0622172891186286</v>
      </c>
      <c r="I21" s="146">
        <v>7.124332119068089</v>
      </c>
      <c r="J21" s="146">
        <v>4.2671896714821855</v>
      </c>
      <c r="K21" s="177">
        <v>4.534214918927404</v>
      </c>
      <c r="L21" s="54"/>
    </row>
    <row r="22" spans="1:12" ht="11.25">
      <c r="A22" s="105"/>
      <c r="B22" s="112" t="s">
        <v>63</v>
      </c>
      <c r="C22" s="145">
        <v>3417.6164140500005</v>
      </c>
      <c r="D22" s="145">
        <v>1961.77429846</v>
      </c>
      <c r="E22" s="145">
        <v>1703.4057951899997</v>
      </c>
      <c r="F22" s="145">
        <v>-258.36850327000025</v>
      </c>
      <c r="G22" s="145">
        <v>-1714.2106188600007</v>
      </c>
      <c r="H22" s="146">
        <v>-13.170144163516696</v>
      </c>
      <c r="I22" s="146">
        <v>-33.59822432893088</v>
      </c>
      <c r="J22" s="146">
        <v>-41.14363895603742</v>
      </c>
      <c r="K22" s="177">
        <v>-50.15807542978759</v>
      </c>
      <c r="L22" s="54"/>
    </row>
    <row r="23" spans="1:12" ht="11.25">
      <c r="A23" s="105"/>
      <c r="B23" s="113" t="s">
        <v>0</v>
      </c>
      <c r="C23" s="145">
        <v>8.335248280000002</v>
      </c>
      <c r="D23" s="145">
        <v>7.86759096</v>
      </c>
      <c r="E23" s="145">
        <v>7.869830690000001</v>
      </c>
      <c r="F23" s="145">
        <v>0.0022397300000003284</v>
      </c>
      <c r="G23" s="145">
        <v>-0.46541759000000127</v>
      </c>
      <c r="H23" s="146">
        <v>0.028467799246140884</v>
      </c>
      <c r="I23" s="146">
        <v>7.298440226037428</v>
      </c>
      <c r="J23" s="146">
        <v>-55.815604984342436</v>
      </c>
      <c r="K23" s="177">
        <v>-5.5837279750472035</v>
      </c>
      <c r="L23" s="54"/>
    </row>
    <row r="24" spans="1:12" ht="11.25">
      <c r="A24" s="105"/>
      <c r="B24" s="113" t="s">
        <v>99</v>
      </c>
      <c r="C24" s="145">
        <v>119.52189920000001</v>
      </c>
      <c r="D24" s="145">
        <v>1658.4866684499998</v>
      </c>
      <c r="E24" s="145">
        <v>1655.32548645</v>
      </c>
      <c r="F24" s="145">
        <v>-3.161181999999826</v>
      </c>
      <c r="G24" s="145">
        <v>1535.80358725</v>
      </c>
      <c r="H24" s="146">
        <v>-0.19060641608619175</v>
      </c>
      <c r="I24" s="146">
        <v>1338.1004564812868</v>
      </c>
      <c r="J24" s="146">
        <v>1299.9142283088063</v>
      </c>
      <c r="K24" s="177">
        <v>1284.955809378571</v>
      </c>
      <c r="L24" s="54"/>
    </row>
    <row r="25" spans="1:12" ht="12" thickBot="1">
      <c r="A25" s="105"/>
      <c r="B25" s="114" t="s">
        <v>92</v>
      </c>
      <c r="C25" s="178">
        <v>-148.01756834000008</v>
      </c>
      <c r="D25" s="178">
        <v>-185.80860225000006</v>
      </c>
      <c r="E25" s="178">
        <v>-179.55109430000002</v>
      </c>
      <c r="F25" s="178">
        <v>6.257507950000047</v>
      </c>
      <c r="G25" s="178">
        <v>-31.533525959999935</v>
      </c>
      <c r="H25" s="179">
        <v>-3.367717034747806</v>
      </c>
      <c r="I25" s="179">
        <v>31.714673743963395</v>
      </c>
      <c r="J25" s="179">
        <v>26.90456257770073</v>
      </c>
      <c r="K25" s="180">
        <v>21.303907579110227</v>
      </c>
      <c r="L25" s="54"/>
    </row>
    <row r="26" spans="2:12" ht="12" customHeight="1" hidden="1">
      <c r="B26" s="58" t="s">
        <v>74</v>
      </c>
      <c r="C26" s="147">
        <v>0.01408435001030739</v>
      </c>
      <c r="D26" s="147">
        <v>0.0013133399952494074</v>
      </c>
      <c r="E26" s="147">
        <v>0.04039756000020134</v>
      </c>
      <c r="F26" s="147">
        <v>0.03908422000495193</v>
      </c>
      <c r="G26" s="147">
        <v>0.02631320998989395</v>
      </c>
      <c r="H26" s="147">
        <v>0.0002645330762129916</v>
      </c>
      <c r="I26" s="147">
        <v>-7.133633721601029E-05</v>
      </c>
      <c r="J26" s="147">
        <v>-0.00022850010739006166</v>
      </c>
      <c r="K26" s="148">
        <v>0.00019133837067997206</v>
      </c>
      <c r="L26" s="54">
        <f>(E26-C26)/C26*100</f>
        <v>186.82587390001723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5"/>
      <c r="B30" s="302" t="s">
        <v>75</v>
      </c>
      <c r="C30" s="303"/>
      <c r="D30" s="303"/>
      <c r="E30" s="303"/>
      <c r="F30" s="303"/>
      <c r="G30" s="303"/>
      <c r="H30" s="303"/>
      <c r="I30" s="303"/>
      <c r="J30" s="303"/>
      <c r="K30" s="304"/>
      <c r="L30" s="105"/>
    </row>
    <row r="31" spans="1:12" ht="11.25">
      <c r="A31" s="105"/>
      <c r="B31" s="305" t="s">
        <v>113</v>
      </c>
      <c r="C31" s="283"/>
      <c r="D31" s="283"/>
      <c r="E31" s="283"/>
      <c r="F31" s="283"/>
      <c r="G31" s="283"/>
      <c r="H31" s="283"/>
      <c r="I31" s="283"/>
      <c r="J31" s="283"/>
      <c r="K31" s="306"/>
      <c r="L31" s="105"/>
    </row>
    <row r="32" spans="1:12" ht="11.25">
      <c r="A32" s="105"/>
      <c r="B32" s="107"/>
      <c r="C32" s="69"/>
      <c r="D32" s="43"/>
      <c r="E32" s="69"/>
      <c r="F32" s="280" t="s">
        <v>107</v>
      </c>
      <c r="G32" s="281"/>
      <c r="H32" s="127" t="s">
        <v>127</v>
      </c>
      <c r="I32" s="280" t="s">
        <v>128</v>
      </c>
      <c r="J32" s="300"/>
      <c r="K32" s="301"/>
      <c r="L32" s="105"/>
    </row>
    <row r="33" spans="1:12" ht="11.25">
      <c r="A33" s="105"/>
      <c r="B33" s="108"/>
      <c r="C33" s="12">
        <f>C5</f>
        <v>39783</v>
      </c>
      <c r="D33" s="68">
        <f>D5</f>
        <v>40118</v>
      </c>
      <c r="E33" s="12">
        <f>E5</f>
        <v>40148</v>
      </c>
      <c r="F33" s="12" t="s">
        <v>110</v>
      </c>
      <c r="G33" s="59" t="s">
        <v>109</v>
      </c>
      <c r="H33" s="59" t="s">
        <v>129</v>
      </c>
      <c r="I33" s="12">
        <f>I5</f>
        <v>40087</v>
      </c>
      <c r="J33" s="12">
        <f>J5</f>
        <v>40118</v>
      </c>
      <c r="K33" s="174">
        <f>K5</f>
        <v>40148</v>
      </c>
      <c r="L33" s="105"/>
    </row>
    <row r="34" spans="1:12" ht="11.25">
      <c r="A34" s="105"/>
      <c r="B34" s="115" t="s">
        <v>53</v>
      </c>
      <c r="C34" s="158">
        <v>45264.09148087932</v>
      </c>
      <c r="D34" s="158">
        <v>51365.331077471055</v>
      </c>
      <c r="E34" s="158">
        <v>51281.72566655762</v>
      </c>
      <c r="F34" s="158">
        <v>-83.60541091343475</v>
      </c>
      <c r="G34" s="158">
        <v>6017.634185678304</v>
      </c>
      <c r="H34" s="159">
        <v>-0.1627662260900023</v>
      </c>
      <c r="I34" s="159">
        <v>11.757507509544896</v>
      </c>
      <c r="J34" s="159">
        <v>11.111453321338093</v>
      </c>
      <c r="K34" s="181">
        <v>13.30139964290742</v>
      </c>
      <c r="L34" s="105"/>
    </row>
    <row r="35" spans="1:13" ht="11.25">
      <c r="A35" s="105"/>
      <c r="B35" s="115" t="s">
        <v>142</v>
      </c>
      <c r="C35" s="158">
        <v>1809.2832946497017</v>
      </c>
      <c r="D35" s="158">
        <v>3729.5438278109295</v>
      </c>
      <c r="E35" s="158">
        <v>3263.762062810522</v>
      </c>
      <c r="F35" s="158">
        <v>-465.78176500040763</v>
      </c>
      <c r="G35" s="158">
        <v>1454.4787681608202</v>
      </c>
      <c r="H35" s="159">
        <v>-12.488974161588017</v>
      </c>
      <c r="I35" s="159">
        <v>19.15924531367139</v>
      </c>
      <c r="J35" s="159">
        <v>19.2</v>
      </c>
      <c r="K35" s="181">
        <v>80.38977491595224</v>
      </c>
      <c r="L35" s="105"/>
      <c r="M35" s="205"/>
    </row>
    <row r="36" spans="1:12" ht="11.25">
      <c r="A36" s="105"/>
      <c r="B36" s="116" t="s">
        <v>64</v>
      </c>
      <c r="C36" s="160">
        <v>273.51881096121025</v>
      </c>
      <c r="D36" s="160">
        <v>199.7071796026</v>
      </c>
      <c r="E36" s="160">
        <v>144.24815200999998</v>
      </c>
      <c r="F36" s="160">
        <v>-55.45902759260002</v>
      </c>
      <c r="G36" s="160">
        <v>-129.27065895121027</v>
      </c>
      <c r="H36" s="161">
        <v>-27.77017216053959</v>
      </c>
      <c r="I36" s="161">
        <v>-42.614522806720856</v>
      </c>
      <c r="J36" s="161">
        <v>-44.55114552723474</v>
      </c>
      <c r="K36" s="182">
        <v>-47.26207257808791</v>
      </c>
      <c r="L36" s="105"/>
    </row>
    <row r="37" spans="1:12" ht="11.25">
      <c r="A37" s="105"/>
      <c r="B37" s="116" t="s">
        <v>54</v>
      </c>
      <c r="C37" s="160">
        <v>1271.8997266984916</v>
      </c>
      <c r="D37" s="160">
        <v>3189.3029240112064</v>
      </c>
      <c r="E37" s="160">
        <v>2773.522014310248</v>
      </c>
      <c r="F37" s="160">
        <v>-415.78090970095855</v>
      </c>
      <c r="G37" s="160">
        <v>1501.6222876117563</v>
      </c>
      <c r="H37" s="161">
        <v>-13.036733092071048</v>
      </c>
      <c r="I37" s="161">
        <v>34.3296099124959</v>
      </c>
      <c r="J37" s="161">
        <v>-3.275966499142091</v>
      </c>
      <c r="K37" s="182">
        <v>118.06137355729783</v>
      </c>
      <c r="L37" s="105"/>
    </row>
    <row r="38" spans="1:12" ht="11.25">
      <c r="A38" s="105"/>
      <c r="B38" s="116" t="s">
        <v>65</v>
      </c>
      <c r="C38" s="160">
        <v>80.35600000000001</v>
      </c>
      <c r="D38" s="160">
        <v>98.234</v>
      </c>
      <c r="E38" s="160">
        <v>103.75199999999998</v>
      </c>
      <c r="F38" s="160">
        <v>5.5179999999999865</v>
      </c>
      <c r="G38" s="160">
        <v>23.395999999999972</v>
      </c>
      <c r="H38" s="161">
        <v>5.617199747541571</v>
      </c>
      <c r="I38" s="161">
        <v>49.59794338325412</v>
      </c>
      <c r="J38" s="161">
        <v>42.63685204007548</v>
      </c>
      <c r="K38" s="182">
        <v>29.115436308427455</v>
      </c>
      <c r="L38" s="105"/>
    </row>
    <row r="39" spans="1:12" ht="11.25">
      <c r="A39" s="105"/>
      <c r="B39" s="116" t="s">
        <v>66</v>
      </c>
      <c r="C39" s="160">
        <v>183.50875699000002</v>
      </c>
      <c r="D39" s="160">
        <v>242.29972419712334</v>
      </c>
      <c r="E39" s="160">
        <v>242.23989649027396</v>
      </c>
      <c r="F39" s="160">
        <v>-0.05982770684937577</v>
      </c>
      <c r="G39" s="160">
        <v>58.73113950027394</v>
      </c>
      <c r="H39" s="161">
        <v>-0.02469161161764379</v>
      </c>
      <c r="I39" s="161">
        <v>-49.2665388243265</v>
      </c>
      <c r="J39" s="161">
        <v>-0.45857894924821174</v>
      </c>
      <c r="K39" s="182">
        <v>32.00454325102011</v>
      </c>
      <c r="L39" s="105"/>
    </row>
    <row r="40" spans="1:14" ht="11.25">
      <c r="A40" s="105"/>
      <c r="B40" s="115" t="s">
        <v>57</v>
      </c>
      <c r="C40" s="158">
        <v>41153.68206952962</v>
      </c>
      <c r="D40" s="158">
        <v>44603.7309863107</v>
      </c>
      <c r="E40" s="158">
        <v>44822.71109960001</v>
      </c>
      <c r="F40" s="158">
        <v>218.9801132893117</v>
      </c>
      <c r="G40" s="158">
        <v>3669.0290300703928</v>
      </c>
      <c r="H40" s="159">
        <v>0.4909457313257466</v>
      </c>
      <c r="I40" s="159">
        <v>10.17261784308987</v>
      </c>
      <c r="J40" s="159">
        <v>12.077854269936573</v>
      </c>
      <c r="K40" s="181">
        <v>8.915433189845622</v>
      </c>
      <c r="L40" s="207"/>
      <c r="M40" s="207"/>
      <c r="N40" s="207"/>
    </row>
    <row r="41" spans="1:12" ht="11.25">
      <c r="A41" s="105"/>
      <c r="B41" s="116" t="s">
        <v>77</v>
      </c>
      <c r="C41" s="160">
        <v>1972.2111196396131</v>
      </c>
      <c r="D41" s="160">
        <v>2679.9309428874003</v>
      </c>
      <c r="E41" s="160">
        <v>2690.41901997</v>
      </c>
      <c r="F41" s="160">
        <v>10.48807708259983</v>
      </c>
      <c r="G41" s="160">
        <v>718.207900330387</v>
      </c>
      <c r="H41" s="161">
        <v>0.39135624410156655</v>
      </c>
      <c r="I41" s="161">
        <v>54.37674962094965</v>
      </c>
      <c r="J41" s="161">
        <v>73.53394661648154</v>
      </c>
      <c r="K41" s="182">
        <v>36.41638023324943</v>
      </c>
      <c r="L41" s="105"/>
    </row>
    <row r="42" spans="1:12" ht="11.25">
      <c r="A42" s="105"/>
      <c r="B42" s="116" t="s">
        <v>76</v>
      </c>
      <c r="C42" s="160">
        <v>2631.72020258</v>
      </c>
      <c r="D42" s="160">
        <v>2175.0313070033053</v>
      </c>
      <c r="E42" s="160">
        <v>2268.445469460004</v>
      </c>
      <c r="F42" s="160">
        <v>93.4141624566987</v>
      </c>
      <c r="G42" s="160">
        <v>-363.2747331199962</v>
      </c>
      <c r="H42" s="161">
        <v>4.294842200933743</v>
      </c>
      <c r="I42" s="161">
        <v>-14.756434621049186</v>
      </c>
      <c r="J42" s="161">
        <v>-16.9046332396924</v>
      </c>
      <c r="K42" s="182">
        <v>-13.803698917683604</v>
      </c>
      <c r="L42" s="105"/>
    </row>
    <row r="43" spans="1:12" ht="11.25">
      <c r="A43" s="105"/>
      <c r="B43" s="116" t="s">
        <v>47</v>
      </c>
      <c r="C43" s="160">
        <v>2576.1937020399996</v>
      </c>
      <c r="D43" s="160">
        <v>2999.40260148</v>
      </c>
      <c r="E43" s="160">
        <v>2724.6914796</v>
      </c>
      <c r="F43" s="160">
        <v>-274.71112188000006</v>
      </c>
      <c r="G43" s="160">
        <v>148.4977775600005</v>
      </c>
      <c r="H43" s="161">
        <v>-9.15886122604711</v>
      </c>
      <c r="I43" s="161">
        <v>8.721595475055445</v>
      </c>
      <c r="J43" s="161">
        <v>23.058243469326257</v>
      </c>
      <c r="K43" s="182">
        <v>5.76423183716388</v>
      </c>
      <c r="L43" s="105"/>
    </row>
    <row r="44" spans="1:12" ht="11.25">
      <c r="A44" s="105"/>
      <c r="B44" s="116" t="s">
        <v>78</v>
      </c>
      <c r="C44" s="160">
        <v>82.30278584</v>
      </c>
      <c r="D44" s="160">
        <v>83.82071169</v>
      </c>
      <c r="E44" s="160">
        <v>86.34673572</v>
      </c>
      <c r="F44" s="160">
        <v>2.526024030000002</v>
      </c>
      <c r="G44" s="160">
        <v>4.0439498799999996</v>
      </c>
      <c r="H44" s="161">
        <v>3.0136036536437123</v>
      </c>
      <c r="I44" s="161">
        <v>4.446930728826715</v>
      </c>
      <c r="J44" s="161">
        <v>-3.755077213287372</v>
      </c>
      <c r="K44" s="182">
        <v>4.913503034832378</v>
      </c>
      <c r="L44" s="105"/>
    </row>
    <row r="45" spans="1:12" ht="11.25">
      <c r="A45" s="105"/>
      <c r="B45" s="116" t="s">
        <v>138</v>
      </c>
      <c r="C45" s="160">
        <v>655.1053305300001</v>
      </c>
      <c r="D45" s="160">
        <v>589.91032492</v>
      </c>
      <c r="E45" s="160">
        <v>499.01117109</v>
      </c>
      <c r="F45" s="160">
        <v>-90.89915382999999</v>
      </c>
      <c r="G45" s="160">
        <v>-156.09415944000006</v>
      </c>
      <c r="H45" s="161">
        <v>-15.408978278576013</v>
      </c>
      <c r="I45" s="161">
        <v>20.90136702157701</v>
      </c>
      <c r="J45" s="161">
        <v>25.579995621040673</v>
      </c>
      <c r="K45" s="182">
        <v>-23.82733770670361</v>
      </c>
      <c r="L45" s="105"/>
    </row>
    <row r="46" spans="1:12" ht="11.25">
      <c r="A46" s="105"/>
      <c r="B46" s="116" t="s">
        <v>144</v>
      </c>
      <c r="C46" s="160">
        <v>11229.18419398</v>
      </c>
      <c r="D46" s="160">
        <v>12995.39461034</v>
      </c>
      <c r="E46" s="160">
        <v>13248.06166744</v>
      </c>
      <c r="F46" s="160">
        <v>252.66705710000133</v>
      </c>
      <c r="G46" s="160">
        <v>2018.877473460001</v>
      </c>
      <c r="H46" s="161">
        <v>1.9442815295424936</v>
      </c>
      <c r="I46" s="161">
        <v>15.459493034585181</v>
      </c>
      <c r="J46" s="161">
        <v>18.574093806686022</v>
      </c>
      <c r="K46" s="182">
        <v>17.978843686100788</v>
      </c>
      <c r="L46" s="105"/>
    </row>
    <row r="47" spans="1:12" ht="11.25">
      <c r="A47" s="105"/>
      <c r="B47" s="116" t="s">
        <v>48</v>
      </c>
      <c r="C47" s="160">
        <v>22006.964734920006</v>
      </c>
      <c r="D47" s="160">
        <v>23080.240487989995</v>
      </c>
      <c r="E47" s="160">
        <v>23305.735556320004</v>
      </c>
      <c r="F47" s="160">
        <v>225.4950683300085</v>
      </c>
      <c r="G47" s="160">
        <v>1298.7708213999977</v>
      </c>
      <c r="H47" s="161">
        <v>0.9770048472733498</v>
      </c>
      <c r="I47" s="161">
        <v>7.277081953484532</v>
      </c>
      <c r="J47" s="161">
        <v>6.452252523706115</v>
      </c>
      <c r="K47" s="182">
        <v>5.9016354006290905</v>
      </c>
      <c r="L47" s="105"/>
    </row>
    <row r="48" spans="1:12" ht="11.25">
      <c r="A48" s="105"/>
      <c r="B48" s="117" t="s">
        <v>145</v>
      </c>
      <c r="C48" s="158">
        <v>2301.1261167</v>
      </c>
      <c r="D48" s="158">
        <v>3032.0562633494233</v>
      </c>
      <c r="E48" s="158">
        <v>3195.2525041470853</v>
      </c>
      <c r="F48" s="158">
        <v>163.19624079766209</v>
      </c>
      <c r="G48" s="158">
        <v>894.1263874470856</v>
      </c>
      <c r="H48" s="159">
        <v>5.3823618898609755</v>
      </c>
      <c r="I48" s="159">
        <v>30.089894809723063</v>
      </c>
      <c r="J48" s="159">
        <v>23.188576748334167</v>
      </c>
      <c r="K48" s="181">
        <v>39.046069081521374</v>
      </c>
      <c r="L48" s="105"/>
    </row>
    <row r="49" spans="1:12" ht="11.25">
      <c r="A49" s="105"/>
      <c r="B49" s="118"/>
      <c r="C49" s="158"/>
      <c r="D49" s="158"/>
      <c r="E49" s="158"/>
      <c r="F49" s="158"/>
      <c r="G49" s="160"/>
      <c r="H49" s="161"/>
      <c r="I49" s="161"/>
      <c r="J49" s="161"/>
      <c r="K49" s="182"/>
      <c r="L49" s="105"/>
    </row>
    <row r="50" spans="1:12" ht="11.25">
      <c r="A50" s="105"/>
      <c r="B50" s="115" t="s">
        <v>59</v>
      </c>
      <c r="C50" s="158">
        <v>45264.091594995785</v>
      </c>
      <c r="D50" s="158">
        <v>51365.33962628358</v>
      </c>
      <c r="E50" s="158">
        <v>51281.73394765501</v>
      </c>
      <c r="F50" s="158">
        <v>-83.60567862856988</v>
      </c>
      <c r="G50" s="158">
        <v>6017.642352659226</v>
      </c>
      <c r="H50" s="159">
        <v>-0.16276672019859273</v>
      </c>
      <c r="I50" s="159">
        <v>11.757423309977067</v>
      </c>
      <c r="J50" s="159">
        <v>11.11143408275943</v>
      </c>
      <c r="K50" s="181">
        <v>13.294517001473437</v>
      </c>
      <c r="L50" s="105"/>
    </row>
    <row r="51" spans="1:12" ht="11.25">
      <c r="A51" s="105"/>
      <c r="B51" s="119" t="s">
        <v>67</v>
      </c>
      <c r="C51" s="158">
        <v>1082.6198312937086</v>
      </c>
      <c r="D51" s="158">
        <v>870.49582577</v>
      </c>
      <c r="E51" s="158">
        <v>409.58867245</v>
      </c>
      <c r="F51" s="158">
        <v>-460.90715332</v>
      </c>
      <c r="G51" s="158">
        <v>-673.0311588437086</v>
      </c>
      <c r="H51" s="159">
        <v>-52.947658067435654</v>
      </c>
      <c r="I51" s="159">
        <v>-8.997594376890161</v>
      </c>
      <c r="J51" s="159">
        <v>-14.922464386533441</v>
      </c>
      <c r="K51" s="181">
        <v>-62.166897316064315</v>
      </c>
      <c r="L51" s="105"/>
    </row>
    <row r="52" spans="1:12" ht="11.25">
      <c r="A52" s="105"/>
      <c r="B52" s="116" t="s">
        <v>54</v>
      </c>
      <c r="C52" s="160">
        <v>294.15846583999996</v>
      </c>
      <c r="D52" s="160">
        <v>376.64384662</v>
      </c>
      <c r="E52" s="160">
        <v>308.99082999999996</v>
      </c>
      <c r="F52" s="160">
        <v>-67.65301662000002</v>
      </c>
      <c r="G52" s="160">
        <v>14.832364159999997</v>
      </c>
      <c r="H52" s="161">
        <v>-17.962066081025313</v>
      </c>
      <c r="I52" s="161">
        <v>31.535598020963064</v>
      </c>
      <c r="J52" s="161">
        <v>94.95953788420933</v>
      </c>
      <c r="K52" s="182">
        <v>5.042304024004429</v>
      </c>
      <c r="L52" s="105"/>
    </row>
    <row r="53" spans="1:12" ht="11.25">
      <c r="A53" s="105"/>
      <c r="B53" s="116" t="s">
        <v>146</v>
      </c>
      <c r="C53" s="160">
        <v>568.2942967</v>
      </c>
      <c r="D53" s="160">
        <v>493.85413669999997</v>
      </c>
      <c r="E53" s="160">
        <v>100.6</v>
      </c>
      <c r="F53" s="160">
        <v>-393.2541367</v>
      </c>
      <c r="G53" s="160">
        <v>-467.6942967</v>
      </c>
      <c r="H53" s="161">
        <v>-79.62961276942565</v>
      </c>
      <c r="I53" s="161">
        <v>11.044161160871745</v>
      </c>
      <c r="J53" s="161">
        <v>-19.0166161730274</v>
      </c>
      <c r="K53" s="182">
        <v>-82.29790434565874</v>
      </c>
      <c r="L53" s="105"/>
    </row>
    <row r="54" spans="1:12" ht="11.25">
      <c r="A54" s="105"/>
      <c r="B54" s="116" t="s">
        <v>65</v>
      </c>
      <c r="C54" s="160">
        <v>220.16706875370866</v>
      </c>
      <c r="D54" s="160">
        <v>-0.0021575500000000003</v>
      </c>
      <c r="E54" s="160">
        <v>-0.0021575500000000003</v>
      </c>
      <c r="F54" s="160">
        <v>0</v>
      </c>
      <c r="G54" s="160">
        <v>-220.16922630370865</v>
      </c>
      <c r="H54" s="161">
        <v>0</v>
      </c>
      <c r="I54" s="161">
        <v>-94.48995269914965</v>
      </c>
      <c r="J54" s="161">
        <v>-100.0009799603602</v>
      </c>
      <c r="K54" s="182">
        <v>-100.0009799603602</v>
      </c>
      <c r="L54" s="105"/>
    </row>
    <row r="55" spans="1:12" ht="11.25">
      <c r="A55" s="105"/>
      <c r="B55" s="116" t="s">
        <v>68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1">
        <v>0</v>
      </c>
      <c r="I55" s="161">
        <v>0</v>
      </c>
      <c r="J55" s="161">
        <v>0</v>
      </c>
      <c r="K55" s="182">
        <v>0</v>
      </c>
      <c r="L55" s="105"/>
    </row>
    <row r="56" spans="1:12" ht="11.25">
      <c r="A56" s="105"/>
      <c r="B56" s="115" t="s">
        <v>69</v>
      </c>
      <c r="C56" s="158">
        <v>44181.47176370207</v>
      </c>
      <c r="D56" s="158">
        <v>50494.84380051358</v>
      </c>
      <c r="E56" s="158">
        <v>50872.14527520501</v>
      </c>
      <c r="F56" s="158">
        <v>377.30147469142685</v>
      </c>
      <c r="G56" s="158">
        <v>6690.673511502937</v>
      </c>
      <c r="H56" s="159">
        <v>0.747207925193323</v>
      </c>
      <c r="I56" s="159">
        <v>12.180054113958327</v>
      </c>
      <c r="J56" s="159">
        <v>11.700684364802827</v>
      </c>
      <c r="K56" s="181">
        <v>15.143618454557139</v>
      </c>
      <c r="L56" s="105"/>
    </row>
    <row r="57" spans="1:12" ht="11.25">
      <c r="A57" s="105"/>
      <c r="B57" s="116" t="s">
        <v>70</v>
      </c>
      <c r="C57" s="160">
        <v>28096.48191146464</v>
      </c>
      <c r="D57" s="160">
        <v>29275.722893557264</v>
      </c>
      <c r="E57" s="160">
        <v>29807.574195505207</v>
      </c>
      <c r="F57" s="160">
        <v>531.8513019479433</v>
      </c>
      <c r="G57" s="160">
        <v>1711.0922840405656</v>
      </c>
      <c r="H57" s="161">
        <v>1.8166974181361317</v>
      </c>
      <c r="I57" s="161">
        <v>5.386796943714844</v>
      </c>
      <c r="J57" s="161">
        <v>2.7564404696401867</v>
      </c>
      <c r="K57" s="182">
        <v>6.09005885303513</v>
      </c>
      <c r="L57" s="105"/>
    </row>
    <row r="58" spans="1:12" ht="11.25">
      <c r="A58" s="105"/>
      <c r="B58" s="120" t="s">
        <v>71</v>
      </c>
      <c r="C58" s="160">
        <v>17430.1263480119</v>
      </c>
      <c r="D58" s="160">
        <v>19623.12689412521</v>
      </c>
      <c r="E58" s="160">
        <v>19739.894191465206</v>
      </c>
      <c r="F58" s="160">
        <v>116.76729733999673</v>
      </c>
      <c r="G58" s="160">
        <v>2309.7678434533045</v>
      </c>
      <c r="H58" s="161">
        <v>0.5950493923318338</v>
      </c>
      <c r="I58" s="161">
        <v>19.244893473271073</v>
      </c>
      <c r="J58" s="161">
        <v>13.587676880627164</v>
      </c>
      <c r="K58" s="182">
        <v>13.25158405244009</v>
      </c>
      <c r="L58" s="105"/>
    </row>
    <row r="59" spans="1:12" ht="11.25">
      <c r="A59" s="105"/>
      <c r="B59" s="120" t="s">
        <v>68</v>
      </c>
      <c r="C59" s="160">
        <v>10666.35556345274</v>
      </c>
      <c r="D59" s="160">
        <v>9652.595999432055</v>
      </c>
      <c r="E59" s="160">
        <v>10067.68000404</v>
      </c>
      <c r="F59" s="160">
        <v>415.08400460794473</v>
      </c>
      <c r="G59" s="160">
        <v>-598.6755594127408</v>
      </c>
      <c r="H59" s="161">
        <v>4.3002318198375615</v>
      </c>
      <c r="I59" s="161">
        <v>-14.295192085784347</v>
      </c>
      <c r="J59" s="161">
        <v>-13.928680554624984</v>
      </c>
      <c r="K59" s="182">
        <v>-5.612747070461877</v>
      </c>
      <c r="L59" s="105"/>
    </row>
    <row r="60" spans="1:12" ht="11.25">
      <c r="A60" s="105"/>
      <c r="B60" s="116" t="s">
        <v>147</v>
      </c>
      <c r="C60" s="160">
        <v>741.4684065600001</v>
      </c>
      <c r="D60" s="160">
        <v>927.19232336</v>
      </c>
      <c r="E60" s="160">
        <v>1055.64586492</v>
      </c>
      <c r="F60" s="160">
        <v>128.45354155999985</v>
      </c>
      <c r="G60" s="160">
        <v>314.17745835999983</v>
      </c>
      <c r="H60" s="161">
        <v>13.854034198051199</v>
      </c>
      <c r="I60" s="161">
        <v>2.4144886170778035</v>
      </c>
      <c r="J60" s="161">
        <v>-5.78435248770136</v>
      </c>
      <c r="K60" s="182">
        <v>42.37233246627567</v>
      </c>
      <c r="L60" s="105"/>
    </row>
    <row r="61" spans="1:12" ht="11.25">
      <c r="A61" s="105"/>
      <c r="B61" s="116" t="s">
        <v>117</v>
      </c>
      <c r="C61" s="160">
        <v>3.9009582443606554</v>
      </c>
      <c r="D61" s="160">
        <v>3.9375824199999996</v>
      </c>
      <c r="E61" s="160">
        <v>3.9375824199999996</v>
      </c>
      <c r="F61" s="160">
        <v>0</v>
      </c>
      <c r="G61" s="160">
        <v>0.03662417563934417</v>
      </c>
      <c r="H61" s="161">
        <v>0</v>
      </c>
      <c r="I61" s="161">
        <v>0.16996878752246758</v>
      </c>
      <c r="J61" s="161">
        <v>0.16996878752246758</v>
      </c>
      <c r="K61" s="182">
        <v>0.9388507475641239</v>
      </c>
      <c r="L61" s="105"/>
    </row>
    <row r="62" spans="1:12" ht="11.25">
      <c r="A62" s="105"/>
      <c r="B62" s="116" t="s">
        <v>118</v>
      </c>
      <c r="C62" s="160">
        <v>6491.83847659959</v>
      </c>
      <c r="D62" s="160">
        <v>10159.799465493834</v>
      </c>
      <c r="E62" s="160">
        <v>10553.205611892192</v>
      </c>
      <c r="F62" s="160">
        <v>393.40614639835803</v>
      </c>
      <c r="G62" s="160">
        <v>4061.367135292602</v>
      </c>
      <c r="H62" s="161">
        <v>3.8721841679503646</v>
      </c>
      <c r="I62" s="161">
        <v>39.98024422755873</v>
      </c>
      <c r="J62" s="161">
        <v>49.66103660787171</v>
      </c>
      <c r="K62" s="182">
        <v>62.561124247501866</v>
      </c>
      <c r="L62" s="105"/>
    </row>
    <row r="63" spans="1:12" ht="11.25">
      <c r="A63" s="105"/>
      <c r="B63" s="116" t="s">
        <v>93</v>
      </c>
      <c r="C63" s="160">
        <v>610.3846783968949</v>
      </c>
      <c r="D63" s="160">
        <v>1209.03739009</v>
      </c>
      <c r="E63" s="160">
        <v>1148.0258739199999</v>
      </c>
      <c r="F63" s="160">
        <v>-61.01151617000005</v>
      </c>
      <c r="G63" s="160">
        <v>537.641195523105</v>
      </c>
      <c r="H63" s="161">
        <v>-5.046288615231196</v>
      </c>
      <c r="I63" s="161">
        <v>140.38040414217986</v>
      </c>
      <c r="J63" s="161">
        <v>152.57515405256825</v>
      </c>
      <c r="K63" s="182">
        <v>88.08235438267515</v>
      </c>
      <c r="L63" s="105"/>
    </row>
    <row r="64" spans="1:12" ht="11.25">
      <c r="A64" s="105"/>
      <c r="B64" s="116" t="s">
        <v>94</v>
      </c>
      <c r="C64" s="160">
        <v>158.03977949</v>
      </c>
      <c r="D64" s="160">
        <v>112.71907508999999</v>
      </c>
      <c r="E64" s="160">
        <v>33.59306908</v>
      </c>
      <c r="F64" s="160">
        <v>-79.12600601</v>
      </c>
      <c r="G64" s="160">
        <v>-124.44671041000001</v>
      </c>
      <c r="H64" s="161">
        <v>-70.19752951913615</v>
      </c>
      <c r="I64" s="161">
        <v>-39.834239624094124</v>
      </c>
      <c r="J64" s="161">
        <v>64.58164133095308</v>
      </c>
      <c r="K64" s="182">
        <v>-78.74391549494308</v>
      </c>
      <c r="L64" s="105"/>
    </row>
    <row r="65" spans="1:12" ht="11.25">
      <c r="A65" s="105"/>
      <c r="B65" s="116" t="s">
        <v>65</v>
      </c>
      <c r="C65" s="160">
        <v>7.897623100000001</v>
      </c>
      <c r="D65" s="160">
        <v>6.7096031</v>
      </c>
      <c r="E65" s="160">
        <v>5.77343062</v>
      </c>
      <c r="F65" s="160">
        <v>-0.9361724799999998</v>
      </c>
      <c r="G65" s="160">
        <v>-2.1241924800000005</v>
      </c>
      <c r="H65" s="161">
        <v>-13.952725161939902</v>
      </c>
      <c r="I65" s="161">
        <v>-2.213928766829587</v>
      </c>
      <c r="J65" s="161">
        <v>-2.213928766829587</v>
      </c>
      <c r="K65" s="182">
        <v>-26.8966048784982</v>
      </c>
      <c r="L65" s="105"/>
    </row>
    <row r="66" spans="1:12" ht="11.25">
      <c r="A66" s="105"/>
      <c r="B66" s="116" t="s">
        <v>148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1">
        <v>0</v>
      </c>
      <c r="I66" s="161">
        <v>0</v>
      </c>
      <c r="J66" s="161">
        <v>0</v>
      </c>
      <c r="K66" s="182">
        <v>0</v>
      </c>
      <c r="L66" s="105"/>
    </row>
    <row r="67" spans="1:12" ht="11.25">
      <c r="A67" s="105"/>
      <c r="B67" s="116" t="s">
        <v>149</v>
      </c>
      <c r="C67" s="160">
        <v>5930.973589042039</v>
      </c>
      <c r="D67" s="160">
        <v>6489.459195443415</v>
      </c>
      <c r="E67" s="160">
        <v>6395.051551206073</v>
      </c>
      <c r="F67" s="160">
        <v>-94.40764423734254</v>
      </c>
      <c r="G67" s="160">
        <v>464.07796216403403</v>
      </c>
      <c r="H67" s="161">
        <v>-1.4547844649925685</v>
      </c>
      <c r="I67" s="161">
        <v>0</v>
      </c>
      <c r="J67" s="161">
        <v>13.833201506533399</v>
      </c>
      <c r="K67" s="182">
        <v>7.824650627705654</v>
      </c>
      <c r="L67" s="105"/>
    </row>
    <row r="68" spans="1:12" ht="11.25">
      <c r="A68" s="105"/>
      <c r="B68" s="116" t="s">
        <v>95</v>
      </c>
      <c r="C68" s="160">
        <v>2152.1798116179616</v>
      </c>
      <c r="D68" s="160">
        <v>2794.7916761940123</v>
      </c>
      <c r="E68" s="160">
        <v>2756.1548588112632</v>
      </c>
      <c r="F68" s="160">
        <v>-38.636817382749086</v>
      </c>
      <c r="G68" s="160">
        <v>603.9750471933016</v>
      </c>
      <c r="H68" s="161">
        <v>-1.3824578666043996</v>
      </c>
      <c r="I68" s="161">
        <v>0</v>
      </c>
      <c r="J68" s="161">
        <v>-1.5752284856177745</v>
      </c>
      <c r="K68" s="182">
        <v>28.063410126463673</v>
      </c>
      <c r="L68" s="105"/>
    </row>
    <row r="69" spans="1:12" ht="11.25" customHeight="1" hidden="1">
      <c r="A69" s="105"/>
      <c r="B69" s="116" t="s">
        <v>96</v>
      </c>
      <c r="C69" s="160">
        <v>-11.693470813424762</v>
      </c>
      <c r="D69" s="160">
        <v>-484.52540423493156</v>
      </c>
      <c r="E69" s="160">
        <v>-886.816763169726</v>
      </c>
      <c r="F69" s="160">
        <v>-402.2913589347944</v>
      </c>
      <c r="G69" s="160">
        <v>484.52540423493156</v>
      </c>
      <c r="H69" s="161">
        <v>83.02791874659592</v>
      </c>
      <c r="I69" s="161">
        <v>-97.38931311235302</v>
      </c>
      <c r="J69" s="161">
        <v>210.78849327564063</v>
      </c>
      <c r="K69" s="182">
        <v>7483.862630003834</v>
      </c>
      <c r="L69" s="105"/>
    </row>
    <row r="70" spans="1:12" ht="12" customHeight="1" hidden="1">
      <c r="A70" s="105"/>
      <c r="B70" s="116" t="s">
        <v>96</v>
      </c>
      <c r="C70" s="149"/>
      <c r="D70" s="149"/>
      <c r="E70" s="149"/>
      <c r="F70" s="149"/>
      <c r="G70" s="149"/>
      <c r="H70" s="149"/>
      <c r="I70" s="149"/>
      <c r="J70" s="149"/>
      <c r="K70" s="183"/>
      <c r="L70" s="105"/>
    </row>
    <row r="71" spans="1:12" ht="12" customHeight="1" hidden="1" thickBot="1">
      <c r="A71" s="105"/>
      <c r="B71" s="121"/>
      <c r="C71" s="150">
        <v>0.00011411646846681833</v>
      </c>
      <c r="D71" s="150">
        <v>0.00854881252598716</v>
      </c>
      <c r="E71" s="150">
        <v>0.008281097390863579</v>
      </c>
      <c r="F71" s="150">
        <v>-0.0002677151351235807</v>
      </c>
      <c r="G71" s="150">
        <v>0.00816698092239676</v>
      </c>
      <c r="H71" s="150">
        <v>-4.941085904319742E-07</v>
      </c>
      <c r="I71" s="150">
        <v>-8.41995678282359E-05</v>
      </c>
      <c r="J71" s="150">
        <v>-1.923857866259482E-05</v>
      </c>
      <c r="K71" s="184">
        <v>-0.006882641433982428</v>
      </c>
      <c r="L71" s="105"/>
    </row>
    <row r="72" spans="1:12" ht="12" customHeight="1" hidden="1">
      <c r="A72" s="105"/>
      <c r="B72" s="121"/>
      <c r="C72" s="56"/>
      <c r="D72" s="56"/>
      <c r="E72" s="56"/>
      <c r="F72" s="56"/>
      <c r="G72" s="38"/>
      <c r="H72" s="38"/>
      <c r="I72" s="38"/>
      <c r="J72" s="38"/>
      <c r="K72" s="74"/>
      <c r="L72" s="105"/>
    </row>
    <row r="73" spans="1:12" ht="12" customHeight="1" thickBot="1">
      <c r="A73" s="105"/>
      <c r="B73" s="122"/>
      <c r="C73" s="123"/>
      <c r="D73" s="123"/>
      <c r="E73" s="123"/>
      <c r="F73" s="123"/>
      <c r="G73" s="40"/>
      <c r="H73" s="40"/>
      <c r="I73" s="40"/>
      <c r="J73" s="40"/>
      <c r="K73" s="78"/>
      <c r="L73" s="105"/>
    </row>
    <row r="74" ht="11.25">
      <c r="B74" s="55"/>
    </row>
    <row r="75" spans="2:10" ht="11.25">
      <c r="B75" s="53"/>
      <c r="E75" s="196"/>
      <c r="J75" t="s">
        <v>119</v>
      </c>
    </row>
    <row r="76" ht="12" thickBot="1">
      <c r="B76" s="53"/>
    </row>
    <row r="77" spans="2:12" ht="11.25">
      <c r="B77" s="302" t="s">
        <v>75</v>
      </c>
      <c r="C77" s="303"/>
      <c r="D77" s="303"/>
      <c r="E77" s="303"/>
      <c r="F77" s="303"/>
      <c r="G77" s="303"/>
      <c r="H77" s="303"/>
      <c r="I77" s="303"/>
      <c r="J77" s="303"/>
      <c r="K77" s="304"/>
      <c r="L77" s="105"/>
    </row>
    <row r="78" spans="2:12" ht="12" thickBot="1">
      <c r="B78" s="307" t="s">
        <v>114</v>
      </c>
      <c r="C78" s="308"/>
      <c r="D78" s="308"/>
      <c r="E78" s="308"/>
      <c r="F78" s="308"/>
      <c r="G78" s="308"/>
      <c r="H78" s="308"/>
      <c r="I78" s="308"/>
      <c r="J78" s="308"/>
      <c r="K78" s="309"/>
      <c r="L78" s="105"/>
    </row>
    <row r="79" spans="2:12" ht="11.25">
      <c r="B79" s="107"/>
      <c r="C79" s="106"/>
      <c r="D79" s="43"/>
      <c r="E79" s="106"/>
      <c r="F79" s="280" t="s">
        <v>107</v>
      </c>
      <c r="G79" s="281"/>
      <c r="H79" s="126" t="s">
        <v>125</v>
      </c>
      <c r="I79" s="280" t="s">
        <v>128</v>
      </c>
      <c r="J79" s="300"/>
      <c r="K79" s="301"/>
      <c r="L79" s="105"/>
    </row>
    <row r="80" spans="2:11" ht="11.25">
      <c r="B80" s="108"/>
      <c r="C80" s="12">
        <f>C33</f>
        <v>39783</v>
      </c>
      <c r="D80" s="68">
        <f>D33</f>
        <v>40118</v>
      </c>
      <c r="E80" s="12">
        <f>E33</f>
        <v>40148</v>
      </c>
      <c r="F80" s="12" t="s">
        <v>110</v>
      </c>
      <c r="G80" s="59" t="s">
        <v>109</v>
      </c>
      <c r="H80" s="59" t="s">
        <v>129</v>
      </c>
      <c r="I80" s="12">
        <f>I33</f>
        <v>40087</v>
      </c>
      <c r="J80" s="12">
        <f>J33</f>
        <v>40118</v>
      </c>
      <c r="K80" s="174">
        <f>K33</f>
        <v>40148</v>
      </c>
    </row>
    <row r="81" spans="2:14" ht="11.25">
      <c r="B81" s="73" t="s">
        <v>53</v>
      </c>
      <c r="C81" s="162">
        <v>48121.04288979911</v>
      </c>
      <c r="D81" s="162">
        <v>52699.825460223656</v>
      </c>
      <c r="E81" s="162">
        <v>52803.897047547616</v>
      </c>
      <c r="F81" s="162">
        <v>104.07158732396056</v>
      </c>
      <c r="G81" s="162">
        <v>4682.854157748508</v>
      </c>
      <c r="H81" s="163">
        <v>0.19747994687859236</v>
      </c>
      <c r="I81" s="163">
        <v>7.906554988804171</v>
      </c>
      <c r="J81" s="163">
        <v>6.9469180846649214</v>
      </c>
      <c r="K81" s="185">
        <v>9.731406213436822</v>
      </c>
      <c r="L81" s="54"/>
      <c r="M81" s="54"/>
      <c r="N81" s="54"/>
    </row>
    <row r="82" spans="2:14" ht="11.25">
      <c r="B82" s="73" t="s">
        <v>1</v>
      </c>
      <c r="C82" s="162">
        <v>13584.190233485995</v>
      </c>
      <c r="D82" s="162">
        <v>15857.825229660928</v>
      </c>
      <c r="E82" s="162">
        <v>15357.345671020525</v>
      </c>
      <c r="F82" s="162">
        <v>-500.4795586404034</v>
      </c>
      <c r="G82" s="162">
        <v>1773.1554375345295</v>
      </c>
      <c r="H82" s="163">
        <v>-3.156041584468293</v>
      </c>
      <c r="I82" s="163">
        <v>8.76534041406154</v>
      </c>
      <c r="J82" s="163">
        <v>1.1833562210193271</v>
      </c>
      <c r="K82" s="185">
        <v>13.053081612208107</v>
      </c>
      <c r="L82" s="54"/>
      <c r="M82" s="54"/>
      <c r="N82" s="54"/>
    </row>
    <row r="83" spans="2:11" ht="11.25">
      <c r="B83" s="73" t="s">
        <v>72</v>
      </c>
      <c r="C83" s="162">
        <v>31935.00758905311</v>
      </c>
      <c r="D83" s="162">
        <v>33554.682270703306</v>
      </c>
      <c r="E83" s="162">
        <v>34041.48384054</v>
      </c>
      <c r="F83" s="162">
        <v>486.8015698366944</v>
      </c>
      <c r="G83" s="162">
        <v>2106.476251486889</v>
      </c>
      <c r="H83" s="163">
        <v>1.4507709115211094</v>
      </c>
      <c r="I83" s="163">
        <v>6.424345224995753</v>
      </c>
      <c r="J83" s="163">
        <v>8.555112861539293</v>
      </c>
      <c r="K83" s="185">
        <v>6.596135121035518</v>
      </c>
    </row>
    <row r="84" spans="2:11" ht="11.25">
      <c r="B84" s="75" t="s">
        <v>150</v>
      </c>
      <c r="C84" s="164">
        <v>-4643.033708146894</v>
      </c>
      <c r="D84" s="164">
        <v>-6220.624849756694</v>
      </c>
      <c r="E84" s="164">
        <v>-5846.128148759998</v>
      </c>
      <c r="F84" s="164">
        <v>374.49670099669584</v>
      </c>
      <c r="G84" s="164">
        <v>-1203.0944406131039</v>
      </c>
      <c r="H84" s="165">
        <v>-6.020242500419286</v>
      </c>
      <c r="I84" s="165">
        <v>28.688474775238525</v>
      </c>
      <c r="J84" s="165">
        <v>30.859329927851654</v>
      </c>
      <c r="K84" s="186">
        <v>25.911817924175207</v>
      </c>
    </row>
    <row r="85" spans="2:11" ht="11.25">
      <c r="B85" s="75" t="s">
        <v>151</v>
      </c>
      <c r="C85" s="164">
        <v>36578.041297200005</v>
      </c>
      <c r="D85" s="164">
        <v>39775.30712046</v>
      </c>
      <c r="E85" s="164">
        <v>39887.6119893</v>
      </c>
      <c r="F85" s="164">
        <v>112.30486884000129</v>
      </c>
      <c r="G85" s="164">
        <v>3309.5706920999946</v>
      </c>
      <c r="H85" s="165">
        <v>0.2823482129248798</v>
      </c>
      <c r="I85" s="165">
        <v>10.080683177912775</v>
      </c>
      <c r="J85" s="165">
        <v>11.52805803646524</v>
      </c>
      <c r="K85" s="186">
        <v>9.047971336708338</v>
      </c>
    </row>
    <row r="86" spans="2:11" ht="11.25">
      <c r="B86" s="190" t="s">
        <v>47</v>
      </c>
      <c r="C86" s="164">
        <v>2576.1937020399996</v>
      </c>
      <c r="D86" s="164">
        <v>2999.40260148</v>
      </c>
      <c r="E86" s="164">
        <v>2724.6914796</v>
      </c>
      <c r="F86" s="164">
        <v>-274.71112188000006</v>
      </c>
      <c r="G86" s="164">
        <v>148.4977775600005</v>
      </c>
      <c r="H86" s="165">
        <v>-9.15886122604711</v>
      </c>
      <c r="I86" s="165">
        <v>8.721595475055445</v>
      </c>
      <c r="J86" s="165">
        <v>23.058243469326257</v>
      </c>
      <c r="K86" s="186">
        <v>5.76423183716388</v>
      </c>
    </row>
    <row r="87" spans="2:11" ht="11.25">
      <c r="B87" s="190" t="s">
        <v>136</v>
      </c>
      <c r="C87" s="164">
        <v>82.30278584</v>
      </c>
      <c r="D87" s="164">
        <v>83.82071169</v>
      </c>
      <c r="E87" s="164">
        <v>86.34673572</v>
      </c>
      <c r="F87" s="164">
        <v>2.526024030000002</v>
      </c>
      <c r="G87" s="164">
        <v>4.0439498799999996</v>
      </c>
      <c r="H87" s="165">
        <v>3.0136036536437123</v>
      </c>
      <c r="I87" s="165">
        <v>4.446930728826715</v>
      </c>
      <c r="J87" s="165">
        <v>-3.755077213287372</v>
      </c>
      <c r="K87" s="186">
        <v>4.913503034832378</v>
      </c>
    </row>
    <row r="88" spans="2:11" ht="11.25">
      <c r="B88" s="190" t="s">
        <v>138</v>
      </c>
      <c r="C88" s="164">
        <v>655.1053305300001</v>
      </c>
      <c r="D88" s="164">
        <v>589.91032492</v>
      </c>
      <c r="E88" s="164">
        <v>499.01117109</v>
      </c>
      <c r="F88" s="164">
        <v>-90.89915382999999</v>
      </c>
      <c r="G88" s="164">
        <v>-156.09415944000006</v>
      </c>
      <c r="H88" s="165">
        <v>-15.408978278576013</v>
      </c>
      <c r="I88" s="165">
        <v>20.90136702157701</v>
      </c>
      <c r="J88" s="165">
        <v>25.579995621040673</v>
      </c>
      <c r="K88" s="186">
        <v>-23.82733770670361</v>
      </c>
    </row>
    <row r="89" spans="2:11" ht="11.25">
      <c r="B89" s="190" t="s">
        <v>124</v>
      </c>
      <c r="C89" s="164">
        <v>11229.18419398</v>
      </c>
      <c r="D89" s="164">
        <v>12995.39461034</v>
      </c>
      <c r="E89" s="164">
        <v>13248.06166744</v>
      </c>
      <c r="F89" s="164">
        <v>252.66705710000133</v>
      </c>
      <c r="G89" s="164">
        <v>2018.877473460001</v>
      </c>
      <c r="H89" s="165">
        <v>1.9442815295424936</v>
      </c>
      <c r="I89" s="165">
        <v>15.459493034585181</v>
      </c>
      <c r="J89" s="165">
        <v>18.574093806686022</v>
      </c>
      <c r="K89" s="186">
        <v>17.978843686100788</v>
      </c>
    </row>
    <row r="90" spans="2:11" ht="11.25">
      <c r="B90" s="190" t="s">
        <v>48</v>
      </c>
      <c r="C90" s="164">
        <v>22030.402284810007</v>
      </c>
      <c r="D90" s="164">
        <v>23101.403872029994</v>
      </c>
      <c r="E90" s="164">
        <v>23327.125935450003</v>
      </c>
      <c r="F90" s="164">
        <v>225.72206342000936</v>
      </c>
      <c r="G90" s="164">
        <v>1296.7236506399968</v>
      </c>
      <c r="H90" s="165">
        <v>0.9770924081947339</v>
      </c>
      <c r="I90" s="165">
        <v>7.259514493901098</v>
      </c>
      <c r="J90" s="165">
        <v>6.432850342392582</v>
      </c>
      <c r="K90" s="186">
        <v>5.8860643299922355</v>
      </c>
    </row>
    <row r="91" spans="2:11" ht="11.25">
      <c r="B91" s="190" t="s">
        <v>134</v>
      </c>
      <c r="C91" s="164">
        <v>4.853</v>
      </c>
      <c r="D91" s="164">
        <v>5.375</v>
      </c>
      <c r="E91" s="164">
        <v>2.375</v>
      </c>
      <c r="F91" s="164">
        <v>-3</v>
      </c>
      <c r="G91" s="164">
        <v>-2.4779999999999998</v>
      </c>
      <c r="H91" s="165">
        <v>-55.81395348837209</v>
      </c>
      <c r="I91" s="165">
        <v>10.756233257778703</v>
      </c>
      <c r="J91" s="165">
        <v>10.756233257778703</v>
      </c>
      <c r="K91" s="186">
        <v>-51.06119925819081</v>
      </c>
    </row>
    <row r="92" spans="2:14" ht="11.25">
      <c r="B92" s="72" t="s">
        <v>145</v>
      </c>
      <c r="C92" s="164">
        <v>2601.8450672599997</v>
      </c>
      <c r="D92" s="164">
        <v>3287.3179598594234</v>
      </c>
      <c r="E92" s="164">
        <v>3405.0675359870856</v>
      </c>
      <c r="F92" s="164">
        <v>117.7495761276623</v>
      </c>
      <c r="G92" s="164">
        <v>803.2224687270859</v>
      </c>
      <c r="H92" s="165">
        <v>3.5819344999623235</v>
      </c>
      <c r="I92" s="165">
        <v>20.693281672621122</v>
      </c>
      <c r="J92" s="165">
        <v>22.024573574562602</v>
      </c>
      <c r="K92" s="186">
        <v>30.87126435137657</v>
      </c>
      <c r="L92" s="54"/>
      <c r="M92" s="54"/>
      <c r="N92" s="54"/>
    </row>
    <row r="93" spans="2:11" ht="11.25">
      <c r="B93" s="72"/>
      <c r="C93" s="164"/>
      <c r="D93" s="164"/>
      <c r="E93" s="164"/>
      <c r="F93" s="162"/>
      <c r="G93" s="162"/>
      <c r="H93" s="163"/>
      <c r="I93" s="163"/>
      <c r="J93" s="163"/>
      <c r="K93" s="185"/>
    </row>
    <row r="94" spans="2:14" ht="11.25">
      <c r="B94" s="73" t="s">
        <v>59</v>
      </c>
      <c r="C94" s="162">
        <v>48121.02891954555</v>
      </c>
      <c r="D94" s="162">
        <v>52699.832695716184</v>
      </c>
      <c r="E94" s="162">
        <v>52803.864931085</v>
      </c>
      <c r="F94" s="162">
        <v>104.03223536881706</v>
      </c>
      <c r="G94" s="162">
        <v>4682.8360115394535</v>
      </c>
      <c r="H94" s="163">
        <v>0.19740524788662855</v>
      </c>
      <c r="I94" s="163">
        <v>7.906598381391161</v>
      </c>
      <c r="J94" s="163">
        <v>6.946991006887848</v>
      </c>
      <c r="K94" s="185">
        <v>9.731371329089345</v>
      </c>
      <c r="L94" s="54"/>
      <c r="M94" s="54"/>
      <c r="N94" s="54"/>
    </row>
    <row r="95" spans="2:11" ht="11.25">
      <c r="B95" s="73" t="s">
        <v>73</v>
      </c>
      <c r="C95" s="162">
        <v>29240.819831100216</v>
      </c>
      <c r="D95" s="162">
        <v>30484.06180360986</v>
      </c>
      <c r="E95" s="162">
        <v>30968.193518245203</v>
      </c>
      <c r="F95" s="162">
        <v>484.1317146353431</v>
      </c>
      <c r="G95" s="162">
        <v>1727.3736871449873</v>
      </c>
      <c r="H95" s="163">
        <v>1.5881470053246423</v>
      </c>
      <c r="I95" s="163">
        <v>4.853790539212244</v>
      </c>
      <c r="J95" s="163">
        <v>2.58693853356069</v>
      </c>
      <c r="K95" s="185">
        <v>5.907405117649178</v>
      </c>
    </row>
    <row r="96" spans="2:11" ht="11.25">
      <c r="B96" s="75" t="s">
        <v>152</v>
      </c>
      <c r="C96" s="164">
        <v>1140.4369614112102</v>
      </c>
      <c r="D96" s="164">
        <v>1204.4013276126002</v>
      </c>
      <c r="E96" s="164">
        <v>1156.68174032</v>
      </c>
      <c r="F96" s="164">
        <v>-47.71958729260018</v>
      </c>
      <c r="G96" s="164">
        <v>16.24477890878984</v>
      </c>
      <c r="H96" s="165">
        <v>-3.962100190240686</v>
      </c>
      <c r="I96" s="165">
        <v>-7.196092973960033</v>
      </c>
      <c r="J96" s="165">
        <v>-1.3603447196306684</v>
      </c>
      <c r="K96" s="186">
        <v>1.4244346209796754</v>
      </c>
    </row>
    <row r="97" spans="2:11" ht="11.25">
      <c r="B97" s="75" t="s">
        <v>153</v>
      </c>
      <c r="C97" s="164">
        <v>17430.126347991903</v>
      </c>
      <c r="D97" s="164">
        <v>19623.126894145207</v>
      </c>
      <c r="E97" s="164">
        <v>19739.894191465206</v>
      </c>
      <c r="F97" s="164">
        <v>116.76729731999876</v>
      </c>
      <c r="G97" s="164">
        <v>2309.7678434733025</v>
      </c>
      <c r="H97" s="165">
        <v>0.5950493922293173</v>
      </c>
      <c r="I97" s="165">
        <v>19.244893473503332</v>
      </c>
      <c r="J97" s="165">
        <v>13.58767688067719</v>
      </c>
      <c r="K97" s="186">
        <v>13.251584052570031</v>
      </c>
    </row>
    <row r="98" spans="2:13" ht="11.25">
      <c r="B98" s="75" t="s">
        <v>154</v>
      </c>
      <c r="C98" s="164">
        <v>10666.35556345274</v>
      </c>
      <c r="D98" s="164">
        <v>9652.595999432055</v>
      </c>
      <c r="E98" s="164">
        <v>10067.68000404</v>
      </c>
      <c r="F98" s="164">
        <v>415.08400460794473</v>
      </c>
      <c r="G98" s="164">
        <v>-598.6755594127408</v>
      </c>
      <c r="H98" s="165">
        <v>4.3002318198375615</v>
      </c>
      <c r="I98" s="165">
        <v>-14.295192085784347</v>
      </c>
      <c r="J98" s="165">
        <v>-13.928680554624984</v>
      </c>
      <c r="K98" s="186">
        <v>-5.612747070461877</v>
      </c>
      <c r="L98" s="54"/>
      <c r="M98" s="54"/>
    </row>
    <row r="99" spans="2:11" ht="11.25">
      <c r="B99" s="75" t="s">
        <v>105</v>
      </c>
      <c r="C99" s="164">
        <v>3.9009582443606554</v>
      </c>
      <c r="D99" s="164">
        <v>3.9375824199999996</v>
      </c>
      <c r="E99" s="164">
        <v>3.9375824199999996</v>
      </c>
      <c r="F99" s="164">
        <v>0</v>
      </c>
      <c r="G99" s="164">
        <v>0.03662417563934417</v>
      </c>
      <c r="H99" s="165">
        <v>0</v>
      </c>
      <c r="I99" s="165">
        <v>0.16996878752246758</v>
      </c>
      <c r="J99" s="165">
        <v>0.16996878752246758</v>
      </c>
      <c r="K99" s="186">
        <v>0.9388507475641239</v>
      </c>
    </row>
    <row r="100" spans="2:14" ht="11.25">
      <c r="B100" s="72" t="s">
        <v>155</v>
      </c>
      <c r="C100" s="164">
        <v>18884.110046689697</v>
      </c>
      <c r="D100" s="164">
        <v>22219.70847452633</v>
      </c>
      <c r="E100" s="164">
        <v>21839.6089952598</v>
      </c>
      <c r="F100" s="164">
        <v>-380.09947926652967</v>
      </c>
      <c r="G100" s="164">
        <v>2955.4989485701044</v>
      </c>
      <c r="H100" s="165">
        <v>-1.7106411621119724</v>
      </c>
      <c r="I100" s="165">
        <v>12.500776220551879</v>
      </c>
      <c r="J100" s="165">
        <v>13.567621438684352</v>
      </c>
      <c r="K100" s="186">
        <v>15.650718732642588</v>
      </c>
      <c r="N100" s="54"/>
    </row>
    <row r="101" spans="2:11" ht="12" thickBot="1">
      <c r="B101" s="124"/>
      <c r="C101" s="171"/>
      <c r="D101" s="171"/>
      <c r="E101" s="171"/>
      <c r="F101" s="172"/>
      <c r="G101" s="172"/>
      <c r="H101" s="173"/>
      <c r="I101" s="173"/>
      <c r="J101" s="173"/>
      <c r="K101" s="187"/>
    </row>
    <row r="102" spans="2:13" ht="12" customHeight="1" hidden="1" thickBot="1">
      <c r="B102" s="39" t="s">
        <v>74</v>
      </c>
      <c r="C102" s="166">
        <v>0.013970253559818957</v>
      </c>
      <c r="D102" s="166">
        <v>-0.007235492528707255</v>
      </c>
      <c r="E102" s="166">
        <v>0.03211646261479473</v>
      </c>
      <c r="F102" s="166">
        <v>0.03935195514350198</v>
      </c>
      <c r="G102" s="166">
        <v>0.01814620905497577</v>
      </c>
      <c r="H102" s="166">
        <v>7.469899196380081E-05</v>
      </c>
      <c r="I102" s="166">
        <v>-4.339258699026516E-05</v>
      </c>
      <c r="J102" s="166">
        <v>-7.292222292676342E-05</v>
      </c>
      <c r="K102" s="166">
        <v>3.488434747644931E-05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31:K31"/>
    <mergeCell ref="F4:G4"/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2010-02-05T14:32:59Z</cp:lastPrinted>
  <dcterms:created xsi:type="dcterms:W3CDTF">1999-07-02T10:21:54Z</dcterms:created>
  <dcterms:modified xsi:type="dcterms:W3CDTF">2010-02-11T07:39:19Z</dcterms:modified>
  <cp:category/>
  <cp:version/>
  <cp:contentType/>
  <cp:contentStatus/>
</cp:coreProperties>
</file>