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9585" windowHeight="5730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'S4'!$A$1:$B$85</definedName>
    <definedName name="_xlnm.Print_Area" localSheetId="5">'S5'!$A$1:$J$58</definedName>
    <definedName name="_xlnm.Print_Area" localSheetId="6">'S6'!$B$2:$Q$20</definedName>
    <definedName name="_xlnm.Print_Area" localSheetId="7">'S7'!$A$1:$O$74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'S5'!$A$1:$J$58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'S5'!$A$1:$J$58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'S5'!$A$1:$J$58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<sst xmlns="http://schemas.openxmlformats.org/spreadsheetml/2006/main" count="255" uniqueCount="171">
  <si>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</si>
  <si>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</si>
  <si>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</si>
  <si>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</si>
  <si>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</si>
  <si>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</si>
  <si>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</si>
  <si>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</si>
  <si>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</si>
  <si>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</si>
  <si>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</si>
  <si>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</si>
  <si>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</si>
  <si>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</si>
  <si>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</si>
  <si>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</si>
  <si>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</si>
  <si>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</si>
  <si>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</si>
  <si>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</si>
  <si>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</si>
  <si>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</si>
  <si>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</si>
  <si>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</si>
  <si>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</si>
  <si>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</si>
  <si>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</si>
  <si>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</si>
  <si>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</si>
  <si>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</si>
  <si>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</si>
  <si>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</si>
  <si>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</si>
  <si>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</si>
  <si>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</si>
  <si>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</si>
  <si>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</si>
  <si>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</si>
  <si>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</si>
  <si>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</si>
  <si>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</si>
  <si>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</si>
  <si>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</si>
  <si>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</si>
  <si>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</si>
  <si>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</si>
  <si>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</si>
  <si>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</si>
  <si>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</si>
  <si>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</si>
  <si>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</si>
  <si>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</si>
  <si>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</si>
  <si>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</si>
  <si>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</si>
  <si>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</si>
  <si>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</si>
  <si>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</si>
  <si>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</si>
  <si>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</si>
  <si>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</si>
  <si>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</si>
  <si>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</si>
  <si>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</si>
  <si>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</si>
  <si>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</si>
  <si>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</si>
  <si>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</si>
  <si>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</si>
  <si>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</si>
  <si>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</si>
  <si>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</si>
  <si>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</si>
  <si>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</si>
  <si>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</si>
  <si>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</si>
  <si>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</si>
  <si>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</si>
  <si>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</si>
  <si>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</si>
  <si>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</si>
  <si>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</si>
  <si>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</si>
  <si>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</si>
  <si>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</si>
  <si>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</si>
  <si>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</si>
  <si>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</si>
  <si>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</si>
  <si>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</si>
  <si>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</si>
  <si>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</si>
  <si>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</si>
  <si>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</si>
  <si>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</si>
  <si>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</si>
  <si>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</si>
  <si>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</si>
  <si>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</si>
  <si>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</si>
  <si>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</si>
  <si>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</si>
  <si>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</si>
  <si>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</si>
  <si>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</si>
  <si>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</si>
  <si>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</si>
  <si>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</si>
  <si>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</si>
  <si>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</si>
  <si>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</si>
  <si>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</si>
  <si>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</si>
  <si>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</si>
  <si>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</si>
  <si>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</si>
  <si>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</si>
  <si>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</si>
  <si>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</si>
  <si>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</si>
  <si>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</si>
  <si>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</si>
  <si>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</si>
  <si>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</si>
  <si>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</si>
  <si>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</si>
  <si>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</si>
  <si>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</si>
  <si>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</si>
  <si>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</si>
  <si>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</si>
  <si>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</si>
  <si>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</si>
  <si>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</si>
  <si>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</si>
  <si>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</si>
  <si>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</si>
  <si>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</si>
  <si>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</si>
  <si>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</si>
  <si>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</si>
  <si>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</si>
  <si>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</si>
  <si>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</si>
  <si>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</si>
  <si>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</si>
  <si>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</si>
  <si>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</si>
  <si>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</si>
  <si>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</si>
  <si>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</si>
  <si>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</si>
  <si>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</si>
  <si>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</si>
  <si>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</si>
  <si>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</si>
  <si>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>DevX</t>
  </si>
  <si>
    <t xml:space="preserve">    volume [000 shares]</t>
  </si>
  <si>
    <t>Domestic and other sectors claims (month-on-month percentage changes)</t>
  </si>
  <si>
    <t xml:space="preserve">   Unclassified shares and other equity</t>
  </si>
  <si>
    <t>Unclassified shares and other equity</t>
  </si>
  <si>
    <t>Liabilities to central Government</t>
  </si>
  <si>
    <t>Central Government</t>
  </si>
  <si>
    <t>Financial derivatives</t>
  </si>
  <si>
    <t>Net claims on the Central Government</t>
  </si>
  <si>
    <t>Claims on other sectors</t>
  </si>
  <si>
    <t>State and local government</t>
  </si>
  <si>
    <t>Public financial corporations</t>
  </si>
  <si>
    <t>Other assets</t>
  </si>
  <si>
    <t xml:space="preserve">     BoN's net foreign assets</t>
  </si>
  <si>
    <t xml:space="preserve">    U.S Dollar/Namibia Dollar exchange rate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</si>
</sst>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  <numFmt numFmtId="223" formatCode="_(* #,##0.000_);_(* \(#,##0.000\);_(* &quot;-&quot;??_);_(@_)"/>
    <numFmt numFmtId="224" formatCode="_(* #,##0.0000_);_(* \(#,##0.0000\);_(* &quot;-&quot;??_);_(@_)"/>
  </numFmts>
  <fonts count="12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10"/>
      <color indexed="25"/>
      <name val="Arial"/>
      <family val="0"/>
    </font>
    <font>
      <sz val="12"/>
      <color indexed="25"/>
      <name val="Arial"/>
      <family val="0"/>
    </font>
    <font>
      <sz val="11"/>
      <color indexed="25"/>
      <name val="Arial"/>
      <family val="0"/>
    </font>
    <font>
      <sz val="9"/>
      <color indexed="25"/>
      <name val="Arial"/>
      <family val="0"/>
    </font>
    <font>
      <sz val="8"/>
      <color indexed="25"/>
      <name val="Arial"/>
      <family val="0"/>
    </font>
    <font>
      <sz val="8"/>
      <color indexed="8"/>
      <name val="Arial"/>
      <family val="0"/>
    </font>
    <font>
      <sz val="12"/>
      <color indexed="16"/>
      <name val="Arial"/>
      <family val="0"/>
    </font>
    <font>
      <sz val="9.65"/>
      <color indexed="25"/>
      <name val="Arial"/>
      <family val="0"/>
    </font>
    <font>
      <sz val="7.1"/>
      <color indexed="16"/>
      <name val="Arial"/>
      <family val="0"/>
    </font>
    <font>
      <sz val="9.25"/>
      <color indexed="25"/>
      <name val="Arial"/>
      <family val="0"/>
    </font>
    <font>
      <sz val="14"/>
      <color indexed="16"/>
      <name val="Arial"/>
      <family val="0"/>
    </font>
    <font>
      <sz val="13.75"/>
      <color indexed="25"/>
      <name val="Arial"/>
      <family val="0"/>
    </font>
    <font>
      <sz val="6"/>
      <color indexed="25"/>
      <name val="Arial"/>
      <family val="0"/>
    </font>
    <font>
      <sz val="6.75"/>
      <color indexed="25"/>
      <name val="Arial"/>
      <family val="0"/>
    </font>
    <font>
      <sz val="10.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4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184" fontId="115" fillId="35" borderId="15" xfId="0" applyNumberFormat="1" applyFont="1" applyFill="1" applyBorder="1" applyAlignment="1">
      <alignment/>
    </xf>
    <xf numFmtId="184" fontId="115" fillId="35" borderId="15" xfId="0" applyNumberFormat="1" applyFont="1" applyFill="1" applyBorder="1" applyAlignment="1">
      <alignment horizontal="right"/>
    </xf>
    <xf numFmtId="0" fontId="115" fillId="35" borderId="15" xfId="0" applyFont="1" applyFill="1" applyBorder="1" applyAlignment="1">
      <alignment/>
    </xf>
    <xf numFmtId="188" fontId="115" fillId="35" borderId="15" xfId="0" applyNumberFormat="1" applyFont="1" applyFill="1" applyBorder="1" applyAlignment="1">
      <alignment/>
    </xf>
    <xf numFmtId="188" fontId="115" fillId="35" borderId="1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192" fontId="115" fillId="35" borderId="15" xfId="42" applyNumberFormat="1" applyFont="1" applyFill="1" applyBorder="1" applyAlignment="1">
      <alignment horizontal="right"/>
    </xf>
    <xf numFmtId="191" fontId="115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5" fillId="41" borderId="15" xfId="0" applyFont="1" applyFill="1" applyBorder="1" applyAlignment="1">
      <alignment/>
    </xf>
    <xf numFmtId="43" fontId="115" fillId="35" borderId="15" xfId="42" applyNumberFormat="1" applyFont="1" applyFill="1" applyBorder="1" applyAlignment="1">
      <alignment horizontal="right"/>
    </xf>
    <xf numFmtId="43" fontId="115" fillId="35" borderId="15" xfId="0" applyNumberFormat="1" applyFont="1" applyFill="1" applyBorder="1" applyAlignment="1">
      <alignment/>
    </xf>
    <xf numFmtId="224" fontId="115" fillId="35" borderId="15" xfId="0" applyNumberFormat="1" applyFont="1" applyFill="1" applyBorder="1" applyAlignment="1">
      <alignment/>
    </xf>
    <xf numFmtId="184" fontId="4" fillId="35" borderId="21" xfId="114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2" fontId="115" fillId="35" borderId="15" xfId="42" applyNumberFormat="1" applyFont="1" applyFill="1" applyBorder="1" applyAlignment="1">
      <alignment horizontal="right"/>
    </xf>
    <xf numFmtId="224" fontId="115" fillId="35" borderId="15" xfId="42" applyNumberFormat="1" applyFont="1" applyFill="1" applyBorder="1" applyAlignment="1">
      <alignment horizontal="right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1"/>
          <c:w val="0.979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Chart'!$BJ$2:$BW$2</c:f>
              <c:numCache>
                <c:ptCount val="14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</c:numCache>
            </c:numRef>
          </c:cat>
          <c:val>
            <c:numRef>
              <c:f>'[2]M1 M2 Chart'!$BJ$8:$BW$8</c:f>
              <c:numCache>
                <c:ptCount val="14"/>
                <c:pt idx="0">
                  <c:v>4.434503079596363</c:v>
                </c:pt>
                <c:pt idx="1">
                  <c:v>6.974092845707876</c:v>
                </c:pt>
                <c:pt idx="2">
                  <c:v>-2.4745243551078944</c:v>
                </c:pt>
                <c:pt idx="3">
                  <c:v>2.799180720158031</c:v>
                </c:pt>
                <c:pt idx="4">
                  <c:v>-0.04210277374891742</c:v>
                </c:pt>
                <c:pt idx="5">
                  <c:v>0.8272827782340273</c:v>
                </c:pt>
                <c:pt idx="6">
                  <c:v>6.327522043796926</c:v>
                </c:pt>
                <c:pt idx="7">
                  <c:v>-5.37998189760437</c:v>
                </c:pt>
                <c:pt idx="8">
                  <c:v>2.8928078536101274</c:v>
                </c:pt>
                <c:pt idx="9">
                  <c:v>0.6439831021346714</c:v>
                </c:pt>
                <c:pt idx="10">
                  <c:v>1.8487980056781463</c:v>
                </c:pt>
                <c:pt idx="11">
                  <c:v>-1.5968998485372725</c:v>
                </c:pt>
                <c:pt idx="12">
                  <c:v>2.2320562951535385</c:v>
                </c:pt>
                <c:pt idx="13">
                  <c:v>-1.756592547572874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Chart'!$BJ$2:$BW$2</c:f>
              <c:numCache>
                <c:ptCount val="14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</c:numCache>
            </c:numRef>
          </c:cat>
          <c:val>
            <c:numRef>
              <c:f>'[2]M1 M2 Chart'!$BJ$9:$BW$9</c:f>
              <c:numCache>
                <c:ptCount val="14"/>
                <c:pt idx="0">
                  <c:v>5.97477485036336</c:v>
                </c:pt>
                <c:pt idx="1">
                  <c:v>13.002097574932087</c:v>
                </c:pt>
                <c:pt idx="2">
                  <c:v>-1.3524626113997604</c:v>
                </c:pt>
                <c:pt idx="3">
                  <c:v>2.1102644246997935</c:v>
                </c:pt>
                <c:pt idx="4">
                  <c:v>-1.5600971040161113</c:v>
                </c:pt>
                <c:pt idx="5">
                  <c:v>4.878776647467522</c:v>
                </c:pt>
                <c:pt idx="6">
                  <c:v>8.088498086381813</c:v>
                </c:pt>
                <c:pt idx="7">
                  <c:v>-4.4759391526018995</c:v>
                </c:pt>
                <c:pt idx="8">
                  <c:v>1.2390717930486315</c:v>
                </c:pt>
                <c:pt idx="9">
                  <c:v>-7.4774713855295865</c:v>
                </c:pt>
                <c:pt idx="10">
                  <c:v>4.924255561007868</c:v>
                </c:pt>
                <c:pt idx="11">
                  <c:v>0.39898149972288327</c:v>
                </c:pt>
                <c:pt idx="12">
                  <c:v>2.117849361403987</c:v>
                </c:pt>
                <c:pt idx="13">
                  <c:v>-0.08190635995394552</c:v>
                </c:pt>
              </c:numCache>
            </c:numRef>
          </c:val>
        </c:ser>
        <c:axId val="20329693"/>
        <c:axId val="48749510"/>
      </c:barChart>
      <c:dateAx>
        <c:axId val="203296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8749510"/>
        <c:crosses val="autoZero"/>
        <c:auto val="0"/>
        <c:noMultiLvlLbl val="0"/>
      </c:dateAx>
      <c:valAx>
        <c:axId val="4874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9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3525"/>
          <c:w val="0.575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05"/>
          <c:w val="0.963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chart'!$BK$2:$BX$2</c:f>
              <c:numCache>
                <c:ptCount val="14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</c:numCache>
            </c:numRef>
          </c:cat>
          <c:val>
            <c:numRef>
              <c:f>'[2] PSC chart'!$BI$11:$BV$11</c:f>
              <c:numCache>
                <c:ptCount val="14"/>
                <c:pt idx="0">
                  <c:v>-3.723489432998802</c:v>
                </c:pt>
                <c:pt idx="1">
                  <c:v>4.100410590801487</c:v>
                </c:pt>
                <c:pt idx="2">
                  <c:v>2.039518532370704</c:v>
                </c:pt>
                <c:pt idx="3">
                  <c:v>-3.6986349181736697</c:v>
                </c:pt>
                <c:pt idx="4">
                  <c:v>0.7103561904573192</c:v>
                </c:pt>
                <c:pt idx="5">
                  <c:v>1.6125924625514372</c:v>
                </c:pt>
                <c:pt idx="6">
                  <c:v>-4.399490493217304</c:v>
                </c:pt>
                <c:pt idx="7">
                  <c:v>4.851910087405438</c:v>
                </c:pt>
                <c:pt idx="8">
                  <c:v>2.657976274018554</c:v>
                </c:pt>
                <c:pt idx="9">
                  <c:v>-4.830797456283062</c:v>
                </c:pt>
                <c:pt idx="10">
                  <c:v>4.0709732556819995</c:v>
                </c:pt>
                <c:pt idx="11">
                  <c:v>3.315189370473283</c:v>
                </c:pt>
                <c:pt idx="12">
                  <c:v>-6.406254840136411</c:v>
                </c:pt>
                <c:pt idx="13">
                  <c:v>-0.17545418818410713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chart'!$BJ$2:$BX$2</c:f>
              <c:numCache>
                <c:ptCount val="15"/>
                <c:pt idx="0">
                  <c:v>39447</c:v>
                </c:pt>
                <c:pt idx="1">
                  <c:v>39478</c:v>
                </c:pt>
                <c:pt idx="2">
                  <c:v>39507</c:v>
                </c:pt>
                <c:pt idx="3">
                  <c:v>39538</c:v>
                </c:pt>
                <c:pt idx="4">
                  <c:v>39568</c:v>
                </c:pt>
                <c:pt idx="5">
                  <c:v>39599</c:v>
                </c:pt>
                <c:pt idx="6">
                  <c:v>39629</c:v>
                </c:pt>
                <c:pt idx="7">
                  <c:v>39660</c:v>
                </c:pt>
                <c:pt idx="8">
                  <c:v>39691</c:v>
                </c:pt>
                <c:pt idx="9">
                  <c:v>39721</c:v>
                </c:pt>
                <c:pt idx="10">
                  <c:v>39752</c:v>
                </c:pt>
                <c:pt idx="11">
                  <c:v>39782</c:v>
                </c:pt>
                <c:pt idx="12">
                  <c:v>39813</c:v>
                </c:pt>
                <c:pt idx="13">
                  <c:v>39844</c:v>
                </c:pt>
                <c:pt idx="14">
                  <c:v>39872</c:v>
                </c:pt>
              </c:numCache>
            </c:numRef>
          </c:cat>
          <c:val>
            <c:numRef>
              <c:f>'[2] PSC chart'!$BH$12:$BV$12</c:f>
              <c:numCache>
                <c:ptCount val="15"/>
                <c:pt idx="0">
                  <c:v>0.13217197265944805</c:v>
                </c:pt>
                <c:pt idx="1">
                  <c:v>0.659734166932406</c:v>
                </c:pt>
                <c:pt idx="2">
                  <c:v>1.7631459638475206</c:v>
                </c:pt>
                <c:pt idx="3">
                  <c:v>1.2906821953446157</c:v>
                </c:pt>
                <c:pt idx="4">
                  <c:v>0.8082505918853169</c:v>
                </c:pt>
                <c:pt idx="5">
                  <c:v>-0.6092556717745857</c:v>
                </c:pt>
                <c:pt idx="6">
                  <c:v>1.188283065867892</c:v>
                </c:pt>
                <c:pt idx="7">
                  <c:v>0.6884786335654285</c:v>
                </c:pt>
                <c:pt idx="8">
                  <c:v>1.2104707999286515</c:v>
                </c:pt>
                <c:pt idx="9">
                  <c:v>0.7539465025562863</c:v>
                </c:pt>
                <c:pt idx="10">
                  <c:v>1.2872926060997363</c:v>
                </c:pt>
                <c:pt idx="11">
                  <c:v>0.9962323302300876</c:v>
                </c:pt>
                <c:pt idx="12">
                  <c:v>2.3542560329519078</c:v>
                </c:pt>
                <c:pt idx="13">
                  <c:v>0.08903063807790236</c:v>
                </c:pt>
                <c:pt idx="14">
                  <c:v>0.5600871658401191</c:v>
                </c:pt>
              </c:numCache>
            </c:numRef>
          </c:val>
        </c:ser>
        <c:axId val="36092407"/>
        <c:axId val="56396208"/>
      </c:barChart>
      <c:dateAx>
        <c:axId val="360924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6396208"/>
        <c:crosses val="autoZero"/>
        <c:auto val="0"/>
        <c:noMultiLvlLbl val="0"/>
      </c:dateAx>
      <c:valAx>
        <c:axId val="56396208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25"/>
          <c:y val="0.9415"/>
          <c:w val="0.526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0525"/>
          <c:w val="0.9482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Chart'!$AL$6:$BW$7</c:f>
              <c:multiLvlStrCache>
                <c:ptCount val="3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Jun-05</c:v>
                  </c:pt>
                  <c:pt idx="36">
                    <c:v>Jul-05</c:v>
                  </c:pt>
                </c:lvl>
              </c:multiLvlStrCache>
            </c:multiLvlStrRef>
          </c:cat>
          <c:val>
            <c:numRef>
              <c:f>'[2]M1 M2 Chart'!$AL$10:$BW$10</c:f>
              <c:numCache>
                <c:ptCount val="38"/>
                <c:pt idx="0">
                  <c:v>10.916567128694577</c:v>
                </c:pt>
                <c:pt idx="1">
                  <c:v>10.377166665496063</c:v>
                </c:pt>
                <c:pt idx="2">
                  <c:v>13.393293586296483</c:v>
                </c:pt>
                <c:pt idx="3">
                  <c:v>11.364105294279248</c:v>
                </c:pt>
                <c:pt idx="4">
                  <c:v>17.374532099341987</c:v>
                </c:pt>
                <c:pt idx="5">
                  <c:v>19.78430340277737</c:v>
                </c:pt>
                <c:pt idx="6">
                  <c:v>20.00993589216351</c:v>
                </c:pt>
                <c:pt idx="7">
                  <c:v>20.048531873604738</c:v>
                </c:pt>
                <c:pt idx="8">
                  <c:v>26.986302920432426</c:v>
                </c:pt>
                <c:pt idx="9">
                  <c:v>28.88947052779418</c:v>
                </c:pt>
                <c:pt idx="10">
                  <c:v>31.202335040567952</c:v>
                </c:pt>
                <c:pt idx="11">
                  <c:v>32.048793790371356</c:v>
                </c:pt>
                <c:pt idx="12">
                  <c:v>33.73499250428582</c:v>
                </c:pt>
                <c:pt idx="13">
                  <c:v>29.64005884283698</c:v>
                </c:pt>
                <c:pt idx="14">
                  <c:v>20.451162411398126</c:v>
                </c:pt>
                <c:pt idx="15">
                  <c:v>20.576221177079134</c:v>
                </c:pt>
                <c:pt idx="16">
                  <c:v>19.174746289291544</c:v>
                </c:pt>
                <c:pt idx="17">
                  <c:v>9.481845616092265</c:v>
                </c:pt>
                <c:pt idx="18">
                  <c:v>18.507489126733233</c:v>
                </c:pt>
                <c:pt idx="19">
                  <c:v>20.88274549887752</c:v>
                </c:pt>
                <c:pt idx="20">
                  <c:v>19.47370331052913</c:v>
                </c:pt>
                <c:pt idx="21">
                  <c:v>12.383776715101401</c:v>
                </c:pt>
                <c:pt idx="22">
                  <c:v>15.838827031610126</c:v>
                </c:pt>
                <c:pt idx="23">
                  <c:v>10.062477904328038</c:v>
                </c:pt>
                <c:pt idx="24">
                  <c:v>11.460310896844605</c:v>
                </c:pt>
                <c:pt idx="25">
                  <c:v>20.216427242318847</c:v>
                </c:pt>
                <c:pt idx="26">
                  <c:v>19.654303071608005</c:v>
                </c:pt>
                <c:pt idx="27">
                  <c:v>20.445071945158144</c:v>
                </c:pt>
                <c:pt idx="28">
                  <c:v>18.191376290417118</c:v>
                </c:pt>
                <c:pt idx="29">
                  <c:v>24.478508423962353</c:v>
                </c:pt>
                <c:pt idx="30">
                  <c:v>19.801851971603178</c:v>
                </c:pt>
                <c:pt idx="31">
                  <c:v>12.979826484115087</c:v>
                </c:pt>
                <c:pt idx="32">
                  <c:v>12.793874116750636</c:v>
                </c:pt>
                <c:pt idx="33">
                  <c:v>16.74104321346901</c:v>
                </c:pt>
                <c:pt idx="34">
                  <c:v>13.4178876384345</c:v>
                </c:pt>
                <c:pt idx="35">
                  <c:v>17.866874085413322</c:v>
                </c:pt>
                <c:pt idx="36">
                  <c:v>15.381148485475427</c:v>
                </c:pt>
                <c:pt idx="37">
                  <c:v>5.964321654374927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'[2]M1 M2 Chart'!$A$11:$M$11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Chart'!$AL$6:$BW$7</c:f>
              <c:multiLvlStrCache>
                <c:ptCount val="3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Jun-05</c:v>
                  </c:pt>
                  <c:pt idx="36">
                    <c:v>Jul-05</c:v>
                  </c:pt>
                </c:lvl>
              </c:multiLvlStrCache>
            </c:multiLvlStrRef>
          </c:cat>
          <c:val>
            <c:numRef>
              <c:f>'[2]M1 M2 Chart'!$AL$11:$BW$11</c:f>
              <c:numCache>
                <c:ptCount val="38"/>
                <c:pt idx="0">
                  <c:v>13.307829477194133</c:v>
                </c:pt>
                <c:pt idx="1">
                  <c:v>18.153991196440277</c:v>
                </c:pt>
                <c:pt idx="2">
                  <c:v>16.746926466491587</c:v>
                </c:pt>
                <c:pt idx="3">
                  <c:v>18.26105991852913</c:v>
                </c:pt>
                <c:pt idx="4">
                  <c:v>19.09758432211348</c:v>
                </c:pt>
                <c:pt idx="5">
                  <c:v>22.669739413680023</c:v>
                </c:pt>
                <c:pt idx="6">
                  <c:v>19.26520444972315</c:v>
                </c:pt>
                <c:pt idx="7">
                  <c:v>19.794919771930218</c:v>
                </c:pt>
                <c:pt idx="8">
                  <c:v>29.051577363950052</c:v>
                </c:pt>
                <c:pt idx="9">
                  <c:v>42.88057309725204</c:v>
                </c:pt>
                <c:pt idx="10">
                  <c:v>45.08204188040932</c:v>
                </c:pt>
                <c:pt idx="11">
                  <c:v>40.1416157271636</c:v>
                </c:pt>
                <c:pt idx="12">
                  <c:v>41.92464220017169</c:v>
                </c:pt>
                <c:pt idx="13">
                  <c:v>36.64912750255096</c:v>
                </c:pt>
                <c:pt idx="14">
                  <c:v>29.676511605062995</c:v>
                </c:pt>
                <c:pt idx="15">
                  <c:v>29.972796393561385</c:v>
                </c:pt>
                <c:pt idx="16">
                  <c:v>25.38083915078888</c:v>
                </c:pt>
                <c:pt idx="17">
                  <c:v>10.48832297113913</c:v>
                </c:pt>
                <c:pt idx="18">
                  <c:v>25.611306640508612</c:v>
                </c:pt>
                <c:pt idx="19">
                  <c:v>29.187098356069075</c:v>
                </c:pt>
                <c:pt idx="20">
                  <c:v>18.554446073351972</c:v>
                </c:pt>
                <c:pt idx="21">
                  <c:v>5.1741364881781715</c:v>
                </c:pt>
                <c:pt idx="22">
                  <c:v>12.258707587577057</c:v>
                </c:pt>
                <c:pt idx="23">
                  <c:v>6.825594746946906</c:v>
                </c:pt>
                <c:pt idx="24">
                  <c:v>6.741589893165956</c:v>
                </c:pt>
                <c:pt idx="25">
                  <c:v>19.65628492625853</c:v>
                </c:pt>
                <c:pt idx="26">
                  <c:v>16.61336445927315</c:v>
                </c:pt>
                <c:pt idx="27">
                  <c:v>18.725391557397785</c:v>
                </c:pt>
                <c:pt idx="28">
                  <c:v>16.39575416187611</c:v>
                </c:pt>
                <c:pt idx="29">
                  <c:v>36.41824342129152</c:v>
                </c:pt>
                <c:pt idx="30">
                  <c:v>25.773361878869405</c:v>
                </c:pt>
                <c:pt idx="31">
                  <c:v>18.330434019012355</c:v>
                </c:pt>
                <c:pt idx="32">
                  <c:v>25.060998494253873</c:v>
                </c:pt>
                <c:pt idx="33">
                  <c:v>16.93392494932191</c:v>
                </c:pt>
                <c:pt idx="34">
                  <c:v>15.608206332380782</c:v>
                </c:pt>
                <c:pt idx="35">
                  <c:v>26.880989450156576</c:v>
                </c:pt>
                <c:pt idx="36">
                  <c:v>22.26318749713816</c:v>
                </c:pt>
                <c:pt idx="37">
                  <c:v>8.106883670622867</c:v>
                </c:pt>
              </c:numCache>
            </c:numRef>
          </c:val>
          <c:smooth val="1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  <c:max val="4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Percent 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3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2"/>
          <c:y val="0.93925"/>
          <c:w val="0.66725"/>
          <c:h val="0.05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chart'!$AK$9:$BV$10</c:f>
              <c:multiLvlStrCache>
                <c:ptCount val="3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</c:lvl>
                <c:lvl>
                  <c:pt idx="0">
                    <c:v>Jun-05</c:v>
                  </c:pt>
                  <c:pt idx="12">
                    <c:v>Jun-05</c:v>
                  </c:pt>
                  <c:pt idx="24">
                    <c:v>Jun-05</c:v>
                  </c:pt>
                  <c:pt idx="36">
                    <c:v>Jul-05</c:v>
                  </c:pt>
                </c:lvl>
              </c:multiLvlStrCache>
            </c:multiLvlStrRef>
          </c:cat>
          <c:val>
            <c:numRef>
              <c:f>'[2] PSC chart'!$AK$13:$BV$13</c:f>
              <c:numCache>
                <c:ptCount val="38"/>
                <c:pt idx="0">
                  <c:v>19.874775739573924</c:v>
                </c:pt>
                <c:pt idx="1">
                  <c:v>19.817026711056897</c:v>
                </c:pt>
                <c:pt idx="2">
                  <c:v>19.725414837752563</c:v>
                </c:pt>
                <c:pt idx="3">
                  <c:v>14.271499938078968</c:v>
                </c:pt>
                <c:pt idx="4">
                  <c:v>15.603419828982057</c:v>
                </c:pt>
                <c:pt idx="5">
                  <c:v>15.640346284363105</c:v>
                </c:pt>
                <c:pt idx="6">
                  <c:v>13.800087472204625</c:v>
                </c:pt>
                <c:pt idx="7">
                  <c:v>14.21303601592372</c:v>
                </c:pt>
                <c:pt idx="8">
                  <c:v>12.095475932032219</c:v>
                </c:pt>
                <c:pt idx="9">
                  <c:v>11.418485937226496</c:v>
                </c:pt>
                <c:pt idx="10">
                  <c:v>11.836894907434514</c:v>
                </c:pt>
                <c:pt idx="11">
                  <c:v>7.966196083411026</c:v>
                </c:pt>
                <c:pt idx="12">
                  <c:v>4.010736885898614</c:v>
                </c:pt>
                <c:pt idx="13">
                  <c:v>4.637972592747919</c:v>
                </c:pt>
                <c:pt idx="14">
                  <c:v>2.888790849040257</c:v>
                </c:pt>
                <c:pt idx="15">
                  <c:v>3.133528742828151</c:v>
                </c:pt>
                <c:pt idx="16">
                  <c:v>2.4665334093153524</c:v>
                </c:pt>
                <c:pt idx="17">
                  <c:v>0.4752296252192423</c:v>
                </c:pt>
                <c:pt idx="18">
                  <c:v>3.4455170277858604</c:v>
                </c:pt>
                <c:pt idx="19">
                  <c:v>4.892002211756874</c:v>
                </c:pt>
                <c:pt idx="20">
                  <c:v>8.158456531683811</c:v>
                </c:pt>
                <c:pt idx="21">
                  <c:v>10.435665788951031</c:v>
                </c:pt>
                <c:pt idx="22">
                  <c:v>8.935395232768006</c:v>
                </c:pt>
                <c:pt idx="23">
                  <c:v>5.96728355993994</c:v>
                </c:pt>
                <c:pt idx="24">
                  <c:v>8.549355669475833</c:v>
                </c:pt>
                <c:pt idx="25">
                  <c:v>9.211763790716487</c:v>
                </c:pt>
                <c:pt idx="26">
                  <c:v>12.685505172385113</c:v>
                </c:pt>
                <c:pt idx="27">
                  <c:v>11.30934667053014</c:v>
                </c:pt>
                <c:pt idx="28">
                  <c:v>8.100694746885996</c:v>
                </c:pt>
                <c:pt idx="29">
                  <c:v>9.120570936596884</c:v>
                </c:pt>
                <c:pt idx="30">
                  <c:v>3.099499701019215</c:v>
                </c:pt>
                <c:pt idx="31">
                  <c:v>3.949836172091259</c:v>
                </c:pt>
                <c:pt idx="32">
                  <c:v>3.2734437172182496</c:v>
                </c:pt>
                <c:pt idx="33">
                  <c:v>-2.2450419887489637</c:v>
                </c:pt>
                <c:pt idx="34">
                  <c:v>0.13323390624757625</c:v>
                </c:pt>
                <c:pt idx="35">
                  <c:v>6.124282222489841</c:v>
                </c:pt>
                <c:pt idx="36">
                  <c:v>3.1671065674200527</c:v>
                </c:pt>
                <c:pt idx="37">
                  <c:v>-1.0704232830190175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chart'!$AK$9:$BV$11</c:f>
              <c:multiLvlStrCache>
                <c:ptCount val="38"/>
                <c:lvl>
                  <c:pt idx="0">
                    <c:v>-2.439387081</c:v>
                  </c:pt>
                  <c:pt idx="1">
                    <c:v>2.848776127</c:v>
                  </c:pt>
                  <c:pt idx="2">
                    <c:v>0.575226399</c:v>
                  </c:pt>
                  <c:pt idx="3">
                    <c:v>-2.739376002</c:v>
                  </c:pt>
                  <c:pt idx="4">
                    <c:v>4.374669763</c:v>
                  </c:pt>
                  <c:pt idx="5">
                    <c:v>2.657911234</c:v>
                  </c:pt>
                  <c:pt idx="6">
                    <c:v>-1.721705445</c:v>
                  </c:pt>
                  <c:pt idx="7">
                    <c:v>2.560090214</c:v>
                  </c:pt>
                  <c:pt idx="8">
                    <c:v>0.209695652</c:v>
                  </c:pt>
                  <c:pt idx="9">
                    <c:v>-1.531477132</c:v>
                  </c:pt>
                  <c:pt idx="10">
                    <c:v>2.99840692</c:v>
                  </c:pt>
                  <c:pt idx="11">
                    <c:v>0.213184842</c:v>
                  </c:pt>
                  <c:pt idx="12">
                    <c:v>-6.013626405</c:v>
                  </c:pt>
                  <c:pt idx="13">
                    <c:v>3.469004641</c:v>
                  </c:pt>
                  <c:pt idx="14">
                    <c:v>-1.106040407</c:v>
                  </c:pt>
                  <c:pt idx="15">
                    <c:v>-2.508025627</c:v>
                  </c:pt>
                  <c:pt idx="16">
                    <c:v>3.6996476</c:v>
                  </c:pt>
                  <c:pt idx="17">
                    <c:v>0.662888271</c:v>
                  </c:pt>
                  <c:pt idx="18">
                    <c:v>1.183635318</c:v>
                  </c:pt>
                  <c:pt idx="19">
                    <c:v>3.994194419</c:v>
                  </c:pt>
                  <c:pt idx="20">
                    <c:v>3.330337707</c:v>
                  </c:pt>
                  <c:pt idx="21">
                    <c:v>0.541716579</c:v>
                  </c:pt>
                  <c:pt idx="22">
                    <c:v>1.599171663</c:v>
                  </c:pt>
                  <c:pt idx="23">
                    <c:v>-2.517276851</c:v>
                  </c:pt>
                  <c:pt idx="24">
                    <c:v>-3.723489433</c:v>
                  </c:pt>
                  <c:pt idx="25">
                    <c:v>4.100410591</c:v>
                  </c:pt>
                  <c:pt idx="26">
                    <c:v>2.039518532</c:v>
                  </c:pt>
                  <c:pt idx="27">
                    <c:v>-3.698634918</c:v>
                  </c:pt>
                  <c:pt idx="28">
                    <c:v>0.71035619</c:v>
                  </c:pt>
                  <c:pt idx="29">
                    <c:v>1.612592463</c:v>
                  </c:pt>
                  <c:pt idx="30">
                    <c:v>-4.399490493</c:v>
                  </c:pt>
                  <c:pt idx="31">
                    <c:v>4.851910087</c:v>
                  </c:pt>
                  <c:pt idx="32">
                    <c:v>2.657976274</c:v>
                  </c:pt>
                  <c:pt idx="33">
                    <c:v>-4.830797456</c:v>
                  </c:pt>
                  <c:pt idx="34">
                    <c:v>4.070973256</c:v>
                  </c:pt>
                  <c:pt idx="35">
                    <c:v>3.31518937</c:v>
                  </c:pt>
                  <c:pt idx="36">
                    <c:v>-6.40625484</c:v>
                  </c:pt>
                  <c:pt idx="37">
                    <c:v>-0.175454188</c:v>
                  </c:pt>
                </c:lvl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</c:lvl>
              </c:multiLvlStrCache>
            </c:multiLvlStrRef>
          </c:cat>
          <c:val>
            <c:numRef>
              <c:f>'[2] PSC chart'!$AK$14:$BV$14</c:f>
              <c:numCache>
                <c:ptCount val="38"/>
                <c:pt idx="0">
                  <c:v>16.71721161945716</c:v>
                </c:pt>
                <c:pt idx="1">
                  <c:v>18.735725347689012</c:v>
                </c:pt>
                <c:pt idx="2">
                  <c:v>18.534756717396906</c:v>
                </c:pt>
                <c:pt idx="3">
                  <c:v>16.990890084819377</c:v>
                </c:pt>
                <c:pt idx="4">
                  <c:v>18.347301134829852</c:v>
                </c:pt>
                <c:pt idx="5">
                  <c:v>19.05258222424213</c:v>
                </c:pt>
                <c:pt idx="6">
                  <c:v>18.07928923420974</c:v>
                </c:pt>
                <c:pt idx="7">
                  <c:v>17.910809559405916</c:v>
                </c:pt>
                <c:pt idx="8">
                  <c:v>15.677649005448014</c:v>
                </c:pt>
                <c:pt idx="9">
                  <c:v>17.84592134908638</c:v>
                </c:pt>
                <c:pt idx="10">
                  <c:v>15.535544242103017</c:v>
                </c:pt>
                <c:pt idx="11">
                  <c:v>13.36691725868735</c:v>
                </c:pt>
                <c:pt idx="12">
                  <c:v>16.126949169539117</c:v>
                </c:pt>
                <c:pt idx="13">
                  <c:v>14.442133967543992</c:v>
                </c:pt>
                <c:pt idx="14">
                  <c:v>15.800739639166883</c:v>
                </c:pt>
                <c:pt idx="15">
                  <c:v>14.016054744465789</c:v>
                </c:pt>
                <c:pt idx="16">
                  <c:v>12.237700033953057</c:v>
                </c:pt>
                <c:pt idx="17">
                  <c:v>13.58376823554548</c:v>
                </c:pt>
                <c:pt idx="18">
                  <c:v>11.004111075035317</c:v>
                </c:pt>
                <c:pt idx="19">
                  <c:v>11.451903726917866</c:v>
                </c:pt>
                <c:pt idx="20">
                  <c:v>12.251837402835065</c:v>
                </c:pt>
                <c:pt idx="21">
                  <c:v>13.106953403873757</c:v>
                </c:pt>
                <c:pt idx="22">
                  <c:v>14.205098425194018</c:v>
                </c:pt>
                <c:pt idx="23">
                  <c:v>13.57521524566696</c:v>
                </c:pt>
                <c:pt idx="24">
                  <c:v>11.356768676110573</c:v>
                </c:pt>
                <c:pt idx="25">
                  <c:v>11.64327804807117</c:v>
                </c:pt>
                <c:pt idx="26">
                  <c:v>12.181822067431147</c:v>
                </c:pt>
                <c:pt idx="27">
                  <c:v>12.60260991208324</c:v>
                </c:pt>
                <c:pt idx="28">
                  <c:v>11.761168749775951</c:v>
                </c:pt>
                <c:pt idx="29">
                  <c:v>11.16335479915891</c:v>
                </c:pt>
                <c:pt idx="30">
                  <c:v>11.351779594730305</c:v>
                </c:pt>
                <c:pt idx="31">
                  <c:v>11.946437217986915</c:v>
                </c:pt>
                <c:pt idx="32">
                  <c:v>11.918394217995786</c:v>
                </c:pt>
                <c:pt idx="33">
                  <c:v>10.786305030638</c:v>
                </c:pt>
                <c:pt idx="34">
                  <c:v>10.634126212054529</c:v>
                </c:pt>
                <c:pt idx="35">
                  <c:v>13.089264491161412</c:v>
                </c:pt>
                <c:pt idx="36">
                  <c:v>12.448090114387945</c:v>
                </c:pt>
                <c:pt idx="37">
                  <c:v>11.118712343585702</c:v>
                </c:pt>
              </c:numCache>
            </c:numRef>
          </c:val>
          <c:smooth val="1"/>
        </c:ser>
        <c:marker val="1"/>
        <c:axId val="42210955"/>
        <c:axId val="44354276"/>
      </c:lineChart>
      <c:catAx>
        <c:axId val="422109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75"/>
          <c:y val="0.9235"/>
          <c:w val="0.62"/>
          <c:h val="0.05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425"/>
          <c:w val="0.9635"/>
          <c:h val="0.894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'[3]Data'!$C$213:$C$226</c:f>
              <c:numCache>
                <c:ptCount val="14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</c:numCache>
            </c:numRef>
          </c:cat>
          <c:val>
            <c:numRef>
              <c:f>'[3]Data'!$E$213:$E$226</c:f>
              <c:numCache>
                <c:ptCount val="14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'[3]Data'!$C$213:$C$226</c:f>
              <c:numCache>
                <c:ptCount val="14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</c:numCache>
            </c:numRef>
          </c:cat>
          <c:val>
            <c:numRef>
              <c:f>'[3]Data'!$J$213:$J$226</c:f>
              <c:numCache>
                <c:ptCount val="14"/>
                <c:pt idx="0">
                  <c:v>8.13</c:v>
                </c:pt>
                <c:pt idx="1">
                  <c:v>8.23</c:v>
                </c:pt>
                <c:pt idx="2">
                  <c:v>8.35</c:v>
                </c:pt>
                <c:pt idx="3">
                  <c:v>8.14</c:v>
                </c:pt>
                <c:pt idx="4">
                  <c:v>8.29</c:v>
                </c:pt>
                <c:pt idx="5">
                  <c:v>8.33</c:v>
                </c:pt>
                <c:pt idx="6">
                  <c:v>8.28</c:v>
                </c:pt>
                <c:pt idx="7">
                  <c:v>8.4</c:v>
                </c:pt>
                <c:pt idx="8">
                  <c:v>8.54</c:v>
                </c:pt>
                <c:pt idx="9">
                  <c:v>8.7</c:v>
                </c:pt>
                <c:pt idx="10">
                  <c:v>8.62</c:v>
                </c:pt>
                <c:pt idx="11">
                  <c:v>8.6</c:v>
                </c:pt>
                <c:pt idx="12">
                  <c:v>8.27</c:v>
                </c:pt>
                <c:pt idx="13">
                  <c:v>8.46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'[3]Data'!$C$213:$C$226</c:f>
              <c:numCache>
                <c:ptCount val="14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</c:numCache>
            </c:numRef>
          </c:cat>
          <c:val>
            <c:numRef>
              <c:f>'[3]Data'!$K$213:$K$226</c:f>
              <c:numCache>
                <c:ptCount val="14"/>
                <c:pt idx="0">
                  <c:v>14.01</c:v>
                </c:pt>
                <c:pt idx="1">
                  <c:v>14.18</c:v>
                </c:pt>
                <c:pt idx="2">
                  <c:v>13.93</c:v>
                </c:pt>
                <c:pt idx="3">
                  <c:v>13.14</c:v>
                </c:pt>
                <c:pt idx="4">
                  <c:v>13.2</c:v>
                </c:pt>
                <c:pt idx="5">
                  <c:v>13.49</c:v>
                </c:pt>
                <c:pt idx="6">
                  <c:v>13.13</c:v>
                </c:pt>
                <c:pt idx="7">
                  <c:v>13.8</c:v>
                </c:pt>
                <c:pt idx="8">
                  <c:v>13.91</c:v>
                </c:pt>
                <c:pt idx="9">
                  <c:v>13.99</c:v>
                </c:pt>
                <c:pt idx="10">
                  <c:v>14.32</c:v>
                </c:pt>
                <c:pt idx="11">
                  <c:v>13.74</c:v>
                </c:pt>
                <c:pt idx="12">
                  <c:v>12.96</c:v>
                </c:pt>
                <c:pt idx="13">
                  <c:v>13.84</c:v>
                </c:pt>
              </c:numCache>
            </c:numRef>
          </c:val>
          <c:smooth val="1"/>
        </c:ser>
        <c:marker val="1"/>
        <c:axId val="63644165"/>
        <c:axId val="35926574"/>
      </c:lineChart>
      <c:catAx>
        <c:axId val="636441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35926574"/>
        <c:crossesAt val="0"/>
        <c:auto val="1"/>
        <c:lblOffset val="100"/>
        <c:tickLblSkip val="1"/>
        <c:noMultiLvlLbl val="0"/>
      </c:catAx>
      <c:valAx>
        <c:axId val="35926574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63644165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75"/>
          <c:y val="0.93375"/>
          <c:w val="0.59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475"/>
          <c:w val="0.9505"/>
          <c:h val="0.873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indices'!$B$147:$B$161</c:f>
              <c:numCache>
                <c:ptCount val="15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</c:numCache>
            </c:numRef>
          </c:cat>
          <c:val>
            <c:numRef>
              <c:f>'[4]Monthly indices'!$C$147:$C$161</c:f>
              <c:numCache>
                <c:ptCount val="15"/>
                <c:pt idx="0">
                  <c:v>837</c:v>
                </c:pt>
                <c:pt idx="1">
                  <c:v>988</c:v>
                </c:pt>
                <c:pt idx="2">
                  <c:v>939</c:v>
                </c:pt>
                <c:pt idx="3">
                  <c:v>963.6</c:v>
                </c:pt>
                <c:pt idx="4">
                  <c:v>961.2</c:v>
                </c:pt>
                <c:pt idx="5">
                  <c:v>956.37</c:v>
                </c:pt>
                <c:pt idx="6">
                  <c:v>845.9</c:v>
                </c:pt>
                <c:pt idx="7">
                  <c:v>829.84</c:v>
                </c:pt>
                <c:pt idx="8">
                  <c:v>671.3</c:v>
                </c:pt>
                <c:pt idx="9">
                  <c:v>576</c:v>
                </c:pt>
                <c:pt idx="10">
                  <c:v>582.39</c:v>
                </c:pt>
                <c:pt idx="11">
                  <c:v>556.26</c:v>
                </c:pt>
                <c:pt idx="12">
                  <c:v>516.37</c:v>
                </c:pt>
                <c:pt idx="13">
                  <c:v>420.02</c:v>
                </c:pt>
                <c:pt idx="14">
                  <c:v>478.83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4903711"/>
        <c:axId val="24371352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indices'!$B$147:$B$161</c:f>
              <c:numCache>
                <c:ptCount val="15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</c:numCache>
            </c:numRef>
          </c:cat>
          <c:val>
            <c:numRef>
              <c:f>'[4]Monthly indices'!$D$147:$D$161</c:f>
              <c:numCache>
                <c:ptCount val="15"/>
                <c:pt idx="0">
                  <c:v>136</c:v>
                </c:pt>
                <c:pt idx="1">
                  <c:v>137</c:v>
                </c:pt>
                <c:pt idx="2">
                  <c:v>139</c:v>
                </c:pt>
                <c:pt idx="3">
                  <c:v>139.78</c:v>
                </c:pt>
                <c:pt idx="4">
                  <c:v>140.29</c:v>
                </c:pt>
                <c:pt idx="5">
                  <c:v>143.91</c:v>
                </c:pt>
                <c:pt idx="6">
                  <c:v>147.9</c:v>
                </c:pt>
                <c:pt idx="7">
                  <c:v>146.49</c:v>
                </c:pt>
                <c:pt idx="8">
                  <c:v>148.94</c:v>
                </c:pt>
                <c:pt idx="9">
                  <c:v>155.8</c:v>
                </c:pt>
                <c:pt idx="10">
                  <c:v>157.55</c:v>
                </c:pt>
                <c:pt idx="11">
                  <c:v>157.95</c:v>
                </c:pt>
                <c:pt idx="12">
                  <c:v>159.63</c:v>
                </c:pt>
                <c:pt idx="13">
                  <c:v>160.02</c:v>
                </c:pt>
                <c:pt idx="14">
                  <c:v>160.27</c:v>
                </c:pt>
              </c:numCache>
            </c:numRef>
          </c:val>
          <c:smooth val="1"/>
        </c:ser>
        <c:marker val="1"/>
        <c:axId val="18015577"/>
        <c:axId val="27922466"/>
      </c:lineChart>
      <c:catAx>
        <c:axId val="549037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993366"/>
                </a:solidFill>
              </a:defRPr>
            </a:pPr>
          </a:p>
        </c:txPr>
        <c:crossAx val="24371352"/>
        <c:crosses val="autoZero"/>
        <c:auto val="1"/>
        <c:lblOffset val="100"/>
        <c:tickLblSkip val="1"/>
        <c:noMultiLvlLbl val="0"/>
      </c:catAx>
      <c:valAx>
        <c:axId val="24371352"/>
        <c:scaling>
          <c:orientation val="minMax"/>
          <c:max val="102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4903711"/>
        <c:crossesAt val="1"/>
        <c:crossBetween val="between"/>
        <c:dispUnits/>
        <c:majorUnit val="50"/>
        <c:minorUnit val="10"/>
      </c:valAx>
      <c:catAx>
        <c:axId val="18015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7922466"/>
        <c:crosses val="autoZero"/>
        <c:auto val="1"/>
        <c:lblOffset val="100"/>
        <c:tickLblSkip val="1"/>
        <c:noMultiLvlLbl val="0"/>
      </c:catAx>
      <c:valAx>
        <c:axId val="27922466"/>
        <c:scaling>
          <c:orientation val="minMax"/>
          <c:max val="16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1801557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4025"/>
          <c:w val="0.752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49"/>
          <c:h val="0.92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-NCPI'!$B$41:$B$54</c:f>
              <c:numCache>
                <c:ptCount val="14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</c:numCache>
            </c:numRef>
          </c:cat>
          <c:val>
            <c:numRef>
              <c:f>'[5]Inflation CPIX -NCPI'!$D$41:$D$54</c:f>
              <c:numCache>
                <c:ptCount val="14"/>
                <c:pt idx="0">
                  <c:v>7.8</c:v>
                </c:pt>
                <c:pt idx="1">
                  <c:v>7.9</c:v>
                </c:pt>
                <c:pt idx="2">
                  <c:v>8.4</c:v>
                </c:pt>
                <c:pt idx="3">
                  <c:v>9.3</c:v>
                </c:pt>
                <c:pt idx="4">
                  <c:v>9.7</c:v>
                </c:pt>
                <c:pt idx="5">
                  <c:v>10.3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11.7</c:v>
                </c:pt>
                <c:pt idx="11">
                  <c:v>10.9</c:v>
                </c:pt>
                <c:pt idx="12">
                  <c:v>11.6</c:v>
                </c:pt>
                <c:pt idx="13">
                  <c:v>11.6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-NCPI'!$B$41:$B$54</c:f>
              <c:numCache>
                <c:ptCount val="14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</c:numCache>
            </c:numRef>
          </c:cat>
          <c:val>
            <c:numRef>
              <c:f>'[5]Inflation CPIX -NCPI'!$C$41:$C$54</c:f>
              <c:numCache>
                <c:ptCount val="14"/>
                <c:pt idx="0">
                  <c:v>8.8</c:v>
                </c:pt>
                <c:pt idx="1">
                  <c:v>9.4</c:v>
                </c:pt>
                <c:pt idx="2">
                  <c:v>10.1</c:v>
                </c:pt>
                <c:pt idx="3">
                  <c:v>10.4</c:v>
                </c:pt>
                <c:pt idx="4">
                  <c:v>10.9</c:v>
                </c:pt>
                <c:pt idx="5">
                  <c:v>11.6</c:v>
                </c:pt>
                <c:pt idx="6">
                  <c:v>13</c:v>
                </c:pt>
                <c:pt idx="7">
                  <c:v>13.6</c:v>
                </c:pt>
                <c:pt idx="8">
                  <c:v>13</c:v>
                </c:pt>
                <c:pt idx="9">
                  <c:v>12.4</c:v>
                </c:pt>
                <c:pt idx="10">
                  <c:v>12.1</c:v>
                </c:pt>
                <c:pt idx="11">
                  <c:v>10.3</c:v>
                </c:pt>
                <c:pt idx="12">
                  <c:v>8.1</c:v>
                </c:pt>
                <c:pt idx="13">
                  <c:v>8.6</c:v>
                </c:pt>
              </c:numCache>
            </c:numRef>
          </c:val>
          <c:smooth val="1"/>
        </c:ser>
        <c:marker val="1"/>
        <c:axId val="49975603"/>
        <c:axId val="47127244"/>
      </c:lineChart>
      <c:catAx>
        <c:axId val="499756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47127244"/>
        <c:crosses val="autoZero"/>
        <c:auto val="0"/>
        <c:lblOffset val="100"/>
        <c:tickLblSkip val="1"/>
        <c:noMultiLvlLbl val="0"/>
      </c:catAx>
      <c:valAx>
        <c:axId val="47127244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4997560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"/>
          <c:y val="0.9375"/>
          <c:w val="0.57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625"/>
          <c:w val="0.932"/>
          <c:h val="0.913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'S6'!$BK$4:$BW$4</c:f>
              <c:strCache>
                <c:ptCount val="13"/>
                <c:pt idx="0">
                  <c:v>39507</c:v>
                </c:pt>
                <c:pt idx="1">
                  <c:v>39538</c:v>
                </c:pt>
                <c:pt idx="2">
                  <c:v>39568</c:v>
                </c:pt>
                <c:pt idx="3">
                  <c:v>39599</c:v>
                </c:pt>
                <c:pt idx="4">
                  <c:v>39629</c:v>
                </c:pt>
                <c:pt idx="5">
                  <c:v>39660</c:v>
                </c:pt>
                <c:pt idx="6">
                  <c:v>39691</c:v>
                </c:pt>
                <c:pt idx="7">
                  <c:v>39721</c:v>
                </c:pt>
                <c:pt idx="8">
                  <c:v>39752</c:v>
                </c:pt>
                <c:pt idx="9">
                  <c:v>39782</c:v>
                </c:pt>
                <c:pt idx="10">
                  <c:v>39813</c:v>
                </c:pt>
                <c:pt idx="11">
                  <c:v>39844</c:v>
                </c:pt>
                <c:pt idx="12">
                  <c:v>39872</c:v>
                </c:pt>
              </c:strCache>
            </c:strRef>
          </c:cat>
          <c:val>
            <c:numRef>
              <c:f>'S6'!$BK$13:$BW$13</c:f>
              <c:numCache>
                <c:ptCount val="13"/>
                <c:pt idx="0">
                  <c:v>0.13091404184012775</c:v>
                </c:pt>
                <c:pt idx="1">
                  <c:v>0.1253148535695936</c:v>
                </c:pt>
                <c:pt idx="2">
                  <c:v>0.1283153477987502</c:v>
                </c:pt>
                <c:pt idx="3">
                  <c:v>0.13116818384532647</c:v>
                </c:pt>
                <c:pt idx="4">
                  <c:v>0.12628175986260545</c:v>
                </c:pt>
                <c:pt idx="5">
                  <c:v>0.13090204599897895</c:v>
                </c:pt>
                <c:pt idx="6">
                  <c:v>0.1305858079343937</c:v>
                </c:pt>
                <c:pt idx="7">
                  <c:v>0.12426682572820359</c:v>
                </c:pt>
                <c:pt idx="8">
                  <c:v>0.10339657757328233</c:v>
                </c:pt>
                <c:pt idx="9">
                  <c:v>0.09883669213358769</c:v>
                </c:pt>
                <c:pt idx="10">
                  <c:v>0.10054697554697554</c:v>
                </c:pt>
                <c:pt idx="11">
                  <c:v>0.1010407194099222</c:v>
                </c:pt>
                <c:pt idx="12">
                  <c:v>0.09994003597841294</c:v>
                </c:pt>
              </c:numCache>
            </c:numRef>
          </c:val>
          <c:smooth val="1"/>
        </c:ser>
        <c:marker val="1"/>
        <c:axId val="21492013"/>
        <c:axId val="59210390"/>
      </c:lineChart>
      <c:dateAx>
        <c:axId val="214920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59210390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9210390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013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0625"/>
          <c:w val="0.9397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chart'!$BK$2:$BX$2</c:f>
              <c:numCache>
                <c:ptCount val="14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</c:numCache>
            </c:numRef>
          </c:cat>
          <c:val>
            <c:numRef>
              <c:f>'[2]Int reser chart'!$BK$3:$BX$3</c:f>
              <c:numCache>
                <c:ptCount val="14"/>
                <c:pt idx="0">
                  <c:v>8497.90853458</c:v>
                </c:pt>
                <c:pt idx="1">
                  <c:v>8656.654479950002</c:v>
                </c:pt>
                <c:pt idx="2">
                  <c:v>8900.780324439998</c:v>
                </c:pt>
                <c:pt idx="3">
                  <c:v>9949.63092274</c:v>
                </c:pt>
                <c:pt idx="4">
                  <c:v>9441.90025126</c:v>
                </c:pt>
                <c:pt idx="5">
                  <c:v>9697.814715469998</c:v>
                </c:pt>
                <c:pt idx="6">
                  <c:v>11758.2039831</c:v>
                </c:pt>
                <c:pt idx="7">
                  <c:v>10730.849802119998</c:v>
                </c:pt>
                <c:pt idx="8">
                  <c:v>10942.098551590001</c:v>
                </c:pt>
                <c:pt idx="9">
                  <c:v>13805.317071959998</c:v>
                </c:pt>
                <c:pt idx="10">
                  <c:v>12725.77199603</c:v>
                </c:pt>
                <c:pt idx="11">
                  <c:v>12857.52677013</c:v>
                </c:pt>
                <c:pt idx="12">
                  <c:v>14460.5</c:v>
                </c:pt>
                <c:pt idx="13">
                  <c:v>13779</c:v>
                </c:pt>
              </c:numCache>
            </c:numRef>
          </c:val>
        </c:ser>
        <c:axId val="63131463"/>
        <c:axId val="31312256"/>
      </c:barChart>
      <c:dateAx>
        <c:axId val="631314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31312256"/>
        <c:crosses val="autoZero"/>
        <c:auto val="0"/>
        <c:noMultiLvlLbl val="0"/>
      </c:dateAx>
      <c:valAx>
        <c:axId val="31312256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1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47625</xdr:rowOff>
    </xdr:from>
    <xdr:to>
      <xdr:col>12</xdr:col>
      <xdr:colOff>57150</xdr:colOff>
      <xdr:row>26</xdr:row>
      <xdr:rowOff>190500</xdr:rowOff>
    </xdr:to>
    <xdr:graphicFrame>
      <xdr:nvGraphicFramePr>
        <xdr:cNvPr id="1" name="Chart 1"/>
        <xdr:cNvGraphicFramePr/>
      </xdr:nvGraphicFramePr>
      <xdr:xfrm>
        <a:off x="714375" y="781050"/>
        <a:ext cx="6772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30</xdr:row>
      <xdr:rowOff>9525</xdr:rowOff>
    </xdr:from>
    <xdr:to>
      <xdr:col>11</xdr:col>
      <xdr:colOff>609600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762000" y="5734050"/>
        <a:ext cx="665797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13</xdr:col>
      <xdr:colOff>533400</xdr:colOff>
      <xdr:row>36</xdr:row>
      <xdr:rowOff>47625</xdr:rowOff>
    </xdr:to>
    <xdr:graphicFrame>
      <xdr:nvGraphicFramePr>
        <xdr:cNvPr id="1" name="Chart 2"/>
        <xdr:cNvGraphicFramePr/>
      </xdr:nvGraphicFramePr>
      <xdr:xfrm>
        <a:off x="704850" y="466725"/>
        <a:ext cx="77533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42</xdr:row>
      <xdr:rowOff>19050</xdr:rowOff>
    </xdr:from>
    <xdr:to>
      <xdr:col>13</xdr:col>
      <xdr:colOff>533400</xdr:colOff>
      <xdr:row>74</xdr:row>
      <xdr:rowOff>19050</xdr:rowOff>
    </xdr:to>
    <xdr:graphicFrame>
      <xdr:nvGraphicFramePr>
        <xdr:cNvPr id="2" name="Chart 2"/>
        <xdr:cNvGraphicFramePr/>
      </xdr:nvGraphicFramePr>
      <xdr:xfrm>
        <a:off x="657225" y="6429375"/>
        <a:ext cx="780097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104775</xdr:rowOff>
    </xdr:from>
    <xdr:to>
      <xdr:col>15</xdr:col>
      <xdr:colOff>219075</xdr:colOff>
      <xdr:row>27</xdr:row>
      <xdr:rowOff>0</xdr:rowOff>
    </xdr:to>
    <xdr:graphicFrame>
      <xdr:nvGraphicFramePr>
        <xdr:cNvPr id="1" name="Chart 8"/>
        <xdr:cNvGraphicFramePr/>
      </xdr:nvGraphicFramePr>
      <xdr:xfrm>
        <a:off x="438150" y="1200150"/>
        <a:ext cx="85439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31</xdr:row>
      <xdr:rowOff>19050</xdr:rowOff>
    </xdr:from>
    <xdr:to>
      <xdr:col>15</xdr:col>
      <xdr:colOff>228600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352425" y="6172200"/>
        <a:ext cx="86391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55</xdr:row>
      <xdr:rowOff>104775</xdr:rowOff>
    </xdr:from>
    <xdr:to>
      <xdr:col>15</xdr:col>
      <xdr:colOff>161925</xdr:colOff>
      <xdr:row>80</xdr:row>
      <xdr:rowOff>142875</xdr:rowOff>
    </xdr:to>
    <xdr:graphicFrame>
      <xdr:nvGraphicFramePr>
        <xdr:cNvPr id="3" name="Chart 1"/>
        <xdr:cNvGraphicFramePr/>
      </xdr:nvGraphicFramePr>
      <xdr:xfrm>
        <a:off x="304800" y="10906125"/>
        <a:ext cx="86201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39</xdr:row>
      <xdr:rowOff>38100</xdr:rowOff>
    </xdr:from>
    <xdr:to>
      <xdr:col>16</xdr:col>
      <xdr:colOff>485775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438150" y="6543675"/>
        <a:ext cx="97726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5</xdr:row>
      <xdr:rowOff>19050</xdr:rowOff>
    </xdr:from>
    <xdr:to>
      <xdr:col>16</xdr:col>
      <xdr:colOff>476250</xdr:colOff>
      <xdr:row>35</xdr:row>
      <xdr:rowOff>47625</xdr:rowOff>
    </xdr:to>
    <xdr:graphicFrame>
      <xdr:nvGraphicFramePr>
        <xdr:cNvPr id="2" name="Chart 1"/>
        <xdr:cNvGraphicFramePr/>
      </xdr:nvGraphicFramePr>
      <xdr:xfrm>
        <a:off x="457200" y="923925"/>
        <a:ext cx="97440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Selected%20Monthly%20Statistics\Backup%20file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J2">
            <v>39478</v>
          </cell>
          <cell r="BK2">
            <v>39507</v>
          </cell>
          <cell r="BL2">
            <v>39538</v>
          </cell>
          <cell r="BM2">
            <v>39568</v>
          </cell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  <cell r="BT2">
            <v>39782</v>
          </cell>
          <cell r="BU2">
            <v>39813</v>
          </cell>
          <cell r="BV2">
            <v>39844</v>
          </cell>
          <cell r="BW2">
            <v>39872</v>
          </cell>
        </row>
        <row r="6">
          <cell r="AL6">
            <v>2006</v>
          </cell>
          <cell r="AX6">
            <v>2007</v>
          </cell>
          <cell r="BJ6">
            <v>2008</v>
          </cell>
          <cell r="BV6">
            <v>2009</v>
          </cell>
        </row>
        <row r="7">
          <cell r="AL7" t="str">
            <v>Jan</v>
          </cell>
          <cell r="AM7" t="str">
            <v>Feb</v>
          </cell>
          <cell r="AN7" t="str">
            <v>Mar</v>
          </cell>
          <cell r="AO7" t="str">
            <v>Apr</v>
          </cell>
          <cell r="AP7" t="str">
            <v>May</v>
          </cell>
          <cell r="AQ7" t="str">
            <v>Jun</v>
          </cell>
          <cell r="AR7" t="str">
            <v>Jul</v>
          </cell>
          <cell r="AS7" t="str">
            <v>Aug</v>
          </cell>
          <cell r="AT7" t="str">
            <v>Sep</v>
          </cell>
          <cell r="AU7" t="str">
            <v>Oct</v>
          </cell>
          <cell r="AV7" t="str">
            <v>Nov</v>
          </cell>
          <cell r="AW7" t="str">
            <v>Dec</v>
          </cell>
          <cell r="AX7" t="str">
            <v>Jan</v>
          </cell>
          <cell r="AY7" t="str">
            <v>Feb</v>
          </cell>
          <cell r="AZ7" t="str">
            <v>Mar</v>
          </cell>
          <cell r="BA7" t="str">
            <v>Apr</v>
          </cell>
          <cell r="BB7" t="str">
            <v>May</v>
          </cell>
          <cell r="BC7" t="str">
            <v>Jun</v>
          </cell>
          <cell r="BD7" t="str">
            <v>Jul</v>
          </cell>
          <cell r="BE7" t="str">
            <v>Aug</v>
          </cell>
          <cell r="BF7" t="str">
            <v>Sep</v>
          </cell>
          <cell r="BG7" t="str">
            <v>Oct</v>
          </cell>
          <cell r="BH7" t="str">
            <v>Nov</v>
          </cell>
          <cell r="BI7" t="str">
            <v>Dec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Apr</v>
          </cell>
          <cell r="BN7" t="str">
            <v>May</v>
          </cell>
          <cell r="BO7" t="str">
            <v>Jun</v>
          </cell>
          <cell r="BP7" t="str">
            <v>Jul</v>
          </cell>
          <cell r="BQ7" t="str">
            <v>Aug</v>
          </cell>
          <cell r="BR7" t="str">
            <v>Sep</v>
          </cell>
          <cell r="BS7" t="str">
            <v>Oct</v>
          </cell>
          <cell r="BT7" t="str">
            <v>Nov</v>
          </cell>
          <cell r="BU7" t="str">
            <v>Dec</v>
          </cell>
          <cell r="BV7" t="str">
            <v>Jan</v>
          </cell>
          <cell r="BW7" t="str">
            <v>Feb</v>
          </cell>
        </row>
        <row r="8">
          <cell r="BJ8">
            <v>4.434503079596363</v>
          </cell>
          <cell r="BK8">
            <v>6.974092845707876</v>
          </cell>
          <cell r="BL8">
            <v>-2.4745243551078944</v>
          </cell>
          <cell r="BM8">
            <v>2.799180720158031</v>
          </cell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  <cell r="BT8">
            <v>1.8487980056781463</v>
          </cell>
          <cell r="BU8">
            <v>-1.5968998485372725</v>
          </cell>
          <cell r="BV8">
            <v>2.2320562951535385</v>
          </cell>
          <cell r="BW8">
            <v>-1.756592547572874</v>
          </cell>
        </row>
        <row r="9">
          <cell r="BJ9">
            <v>5.97477485036336</v>
          </cell>
          <cell r="BK9">
            <v>13.002097574932087</v>
          </cell>
          <cell r="BL9">
            <v>-1.3524626113997604</v>
          </cell>
          <cell r="BM9">
            <v>2.1102644246997935</v>
          </cell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  <cell r="BT9">
            <v>4.924255561007868</v>
          </cell>
          <cell r="BU9">
            <v>0.39898149972288327</v>
          </cell>
          <cell r="BV9">
            <v>2.117849361403987</v>
          </cell>
          <cell r="BW9">
            <v>-0.08190635995394552</v>
          </cell>
        </row>
        <row r="10">
          <cell r="A10" t="str">
            <v>M2</v>
          </cell>
          <cell r="AL10">
            <v>10.916567128694577</v>
          </cell>
          <cell r="AM10">
            <v>10.377166665496063</v>
          </cell>
          <cell r="AN10">
            <v>13.393293586296483</v>
          </cell>
          <cell r="AO10">
            <v>11.364105294279248</v>
          </cell>
          <cell r="AP10">
            <v>17.374532099341987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  <cell r="BS10">
            <v>16.74104321346901</v>
          </cell>
          <cell r="BT10">
            <v>13.4178876384345</v>
          </cell>
          <cell r="BU10">
            <v>17.866874085413322</v>
          </cell>
          <cell r="BV10">
            <v>15.381148485475427</v>
          </cell>
          <cell r="BW10">
            <v>5.964321654374927</v>
          </cell>
        </row>
        <row r="11">
          <cell r="A11" t="str">
            <v>M1</v>
          </cell>
          <cell r="AL11">
            <v>13.307829477194133</v>
          </cell>
          <cell r="AM11">
            <v>18.153991196440277</v>
          </cell>
          <cell r="AN11">
            <v>16.746926466491587</v>
          </cell>
          <cell r="AO11">
            <v>18.26105991852913</v>
          </cell>
          <cell r="AP11">
            <v>19.09758432211348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  <cell r="BS11">
            <v>16.93392494932191</v>
          </cell>
          <cell r="BT11">
            <v>15.608206332380782</v>
          </cell>
          <cell r="BU11">
            <v>26.880989450156576</v>
          </cell>
          <cell r="BV11">
            <v>22.26318749713816</v>
          </cell>
          <cell r="BW11">
            <v>8.106883670622867</v>
          </cell>
        </row>
      </sheetData>
      <sheetData sheetId="8">
        <row r="2"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</row>
        <row r="3"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12857.52677013</v>
          </cell>
          <cell r="BW3">
            <v>14460.5</v>
          </cell>
          <cell r="BX3">
            <v>13779</v>
          </cell>
        </row>
      </sheetData>
      <sheetData sheetId="9">
        <row r="2"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</row>
        <row r="9">
          <cell r="AK9">
            <v>2006</v>
          </cell>
          <cell r="AW9">
            <v>2007</v>
          </cell>
          <cell r="BI9">
            <v>2008</v>
          </cell>
          <cell r="BU9">
            <v>2009</v>
          </cell>
        </row>
        <row r="10">
          <cell r="AK10" t="str">
            <v>Jan</v>
          </cell>
          <cell r="AL10" t="str">
            <v>Feb</v>
          </cell>
          <cell r="AM10" t="str">
            <v>Mar</v>
          </cell>
          <cell r="AN10" t="str">
            <v>Apr</v>
          </cell>
          <cell r="AO10" t="str">
            <v>May</v>
          </cell>
          <cell r="AP10" t="str">
            <v>Jun</v>
          </cell>
          <cell r="AQ10" t="str">
            <v>Jul</v>
          </cell>
          <cell r="AR10" t="str">
            <v>Aug</v>
          </cell>
          <cell r="AS10" t="str">
            <v>Sep</v>
          </cell>
          <cell r="AT10" t="str">
            <v>Oct</v>
          </cell>
          <cell r="AU10" t="str">
            <v>Nov</v>
          </cell>
          <cell r="AV10" t="str">
            <v>Dec</v>
          </cell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  <cell r="BR10" t="str">
            <v>Oct</v>
          </cell>
          <cell r="BS10" t="str">
            <v>Nov</v>
          </cell>
          <cell r="BT10" t="str">
            <v>Dec</v>
          </cell>
          <cell r="BU10" t="str">
            <v>Jan</v>
          </cell>
          <cell r="BV10" t="str">
            <v>Feb</v>
          </cell>
        </row>
        <row r="11">
          <cell r="B11" t="str">
            <v>Domestic claims</v>
          </cell>
          <cell r="AK11">
            <v>-2.439387081493758</v>
          </cell>
          <cell r="AL11">
            <v>2.848776127286061</v>
          </cell>
          <cell r="AM11">
            <v>0.5752263985840023</v>
          </cell>
          <cell r="AN11">
            <v>-2.7393760016035764</v>
          </cell>
          <cell r="AO11">
            <v>4.374669762710496</v>
          </cell>
          <cell r="AP11">
            <v>2.6579112339421114</v>
          </cell>
          <cell r="AQ11">
            <v>-1.7217054446794489</v>
          </cell>
          <cell r="AR11">
            <v>2.560090214007033</v>
          </cell>
          <cell r="AS11">
            <v>0.20969565247535146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-6.013626405303256</v>
          </cell>
          <cell r="AX11">
            <v>3.4690046414206464</v>
          </cell>
          <cell r="AY11">
            <v>-1.106040406635616</v>
          </cell>
          <cell r="AZ11">
            <v>-2.5080256273845984</v>
          </cell>
          <cell r="BA11">
            <v>3.6996475995276263</v>
          </cell>
          <cell r="BB11">
            <v>0.6628882707765751</v>
          </cell>
          <cell r="BC11">
            <v>1.1836353179370318</v>
          </cell>
          <cell r="BD11">
            <v>3.9941944190393803</v>
          </cell>
          <cell r="BE11">
            <v>3.3303377067834963</v>
          </cell>
          <cell r="BF11">
            <v>0.5417165785074152</v>
          </cell>
          <cell r="BG11">
            <v>1.5991716628706223</v>
          </cell>
          <cell r="BH11">
            <v>-2.517276850806411</v>
          </cell>
          <cell r="BI11">
            <v>-3.723489432998802</v>
          </cell>
          <cell r="BJ11">
            <v>4.100410590801487</v>
          </cell>
          <cell r="BK11">
            <v>2.039518532370704</v>
          </cell>
          <cell r="BL11">
            <v>-3.6986349181736697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  <cell r="BS11">
            <v>4.0709732556819995</v>
          </cell>
          <cell r="BT11">
            <v>3.315189370473283</v>
          </cell>
          <cell r="BU11">
            <v>-6.406254840136411</v>
          </cell>
          <cell r="BV11">
            <v>-0.17545418818410713</v>
          </cell>
        </row>
        <row r="12">
          <cell r="B12" t="str">
            <v>Other sectors claims</v>
          </cell>
          <cell r="BH12">
            <v>0.13217197265944805</v>
          </cell>
          <cell r="BI12">
            <v>0.659734166932406</v>
          </cell>
          <cell r="BJ12">
            <v>1.7631459638475206</v>
          </cell>
          <cell r="BK12">
            <v>1.2906821953446157</v>
          </cell>
          <cell r="BL12">
            <v>0.8082505918853169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  <cell r="BS12">
            <v>0.9962323302300876</v>
          </cell>
          <cell r="BT12">
            <v>2.3542560329519078</v>
          </cell>
          <cell r="BU12">
            <v>0.08903063807790236</v>
          </cell>
          <cell r="BV12">
            <v>0.5600871658401191</v>
          </cell>
        </row>
        <row r="13">
          <cell r="AK13">
            <v>19.874775739573924</v>
          </cell>
          <cell r="AL13">
            <v>19.817026711056897</v>
          </cell>
          <cell r="AM13">
            <v>19.725414837752563</v>
          </cell>
          <cell r="AN13">
            <v>14.271499938078968</v>
          </cell>
          <cell r="AO13">
            <v>15.603419828982057</v>
          </cell>
          <cell r="AP13">
            <v>15.640346284363105</v>
          </cell>
          <cell r="AQ13">
            <v>13.800087472204625</v>
          </cell>
          <cell r="AR13">
            <v>14.21303601592372</v>
          </cell>
          <cell r="AS13">
            <v>12.095475932032219</v>
          </cell>
          <cell r="AT13">
            <v>11.418485937226496</v>
          </cell>
          <cell r="AU13">
            <v>11.836894907434514</v>
          </cell>
          <cell r="AV13">
            <v>7.966196083411026</v>
          </cell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  <cell r="BS13">
            <v>0.13323390624757625</v>
          </cell>
          <cell r="BT13">
            <v>6.124282222489841</v>
          </cell>
          <cell r="BU13">
            <v>3.1671065674200527</v>
          </cell>
          <cell r="BV13">
            <v>-1.0704232830190175</v>
          </cell>
        </row>
        <row r="14">
          <cell r="AK14">
            <v>16.71721161945716</v>
          </cell>
          <cell r="AL14">
            <v>18.735725347689012</v>
          </cell>
          <cell r="AM14">
            <v>18.534756717396906</v>
          </cell>
          <cell r="AN14">
            <v>16.990890084819377</v>
          </cell>
          <cell r="AO14">
            <v>18.347301134829852</v>
          </cell>
          <cell r="AP14">
            <v>19.05258222424213</v>
          </cell>
          <cell r="AQ14">
            <v>18.07928923420974</v>
          </cell>
          <cell r="AR14">
            <v>17.910809559405916</v>
          </cell>
          <cell r="AS14">
            <v>15.677649005448014</v>
          </cell>
          <cell r="AT14">
            <v>17.84592134908638</v>
          </cell>
          <cell r="AU14">
            <v>15.535544242103017</v>
          </cell>
          <cell r="AV14">
            <v>13.36691725868735</v>
          </cell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  <cell r="BS14">
            <v>10.634126212054529</v>
          </cell>
          <cell r="BT14">
            <v>13.089264491161412</v>
          </cell>
          <cell r="BU14">
            <v>12.448090114387945</v>
          </cell>
          <cell r="BV14">
            <v>11.118712343585702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  <row r="223">
          <cell r="C223">
            <v>39754</v>
          </cell>
          <cell r="E223">
            <v>10.5</v>
          </cell>
          <cell r="J223">
            <v>8.62</v>
          </cell>
          <cell r="K223">
            <v>14.32</v>
          </cell>
        </row>
        <row r="224">
          <cell r="C224">
            <v>39783</v>
          </cell>
          <cell r="E224">
            <v>10</v>
          </cell>
          <cell r="J224">
            <v>8.6</v>
          </cell>
          <cell r="K224">
            <v>13.74</v>
          </cell>
        </row>
        <row r="225">
          <cell r="C225">
            <v>39814</v>
          </cell>
          <cell r="E225">
            <v>10</v>
          </cell>
          <cell r="J225">
            <v>8.27</v>
          </cell>
          <cell r="K225">
            <v>12.96</v>
          </cell>
        </row>
        <row r="226">
          <cell r="C226">
            <v>39846</v>
          </cell>
          <cell r="E226">
            <v>9</v>
          </cell>
          <cell r="J226">
            <v>8.46</v>
          </cell>
          <cell r="K226">
            <v>13.84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  <row r="157">
          <cell r="B157">
            <v>39782</v>
          </cell>
          <cell r="C157">
            <v>582.39</v>
          </cell>
          <cell r="D157">
            <v>157.55</v>
          </cell>
        </row>
        <row r="158">
          <cell r="B158">
            <v>39813</v>
          </cell>
          <cell r="C158">
            <v>556.26</v>
          </cell>
          <cell r="D158">
            <v>157.95</v>
          </cell>
        </row>
        <row r="159">
          <cell r="B159">
            <v>39844</v>
          </cell>
          <cell r="C159">
            <v>516.37</v>
          </cell>
          <cell r="D159">
            <v>159.63</v>
          </cell>
        </row>
        <row r="160">
          <cell r="B160">
            <v>39872</v>
          </cell>
          <cell r="C160">
            <v>420.02</v>
          </cell>
          <cell r="D160">
            <v>160.02</v>
          </cell>
        </row>
        <row r="161">
          <cell r="B161">
            <v>39903</v>
          </cell>
          <cell r="C161">
            <v>478.83</v>
          </cell>
          <cell r="D161">
            <v>160.27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  <row r="46">
          <cell r="B46">
            <v>39615</v>
          </cell>
          <cell r="C46">
            <v>11.6</v>
          </cell>
          <cell r="D46">
            <v>10.3</v>
          </cell>
        </row>
        <row r="47">
          <cell r="B47">
            <v>39646</v>
          </cell>
          <cell r="C47">
            <v>13</v>
          </cell>
          <cell r="D47">
            <v>11.9</v>
          </cell>
        </row>
        <row r="48">
          <cell r="B48">
            <v>39678</v>
          </cell>
          <cell r="C48">
            <v>13.6</v>
          </cell>
          <cell r="D48">
            <v>12</v>
          </cell>
        </row>
        <row r="49">
          <cell r="B49">
            <v>39710</v>
          </cell>
          <cell r="C49">
            <v>13</v>
          </cell>
          <cell r="D49">
            <v>12</v>
          </cell>
        </row>
        <row r="50">
          <cell r="B50">
            <v>39741</v>
          </cell>
          <cell r="C50">
            <v>12.4</v>
          </cell>
          <cell r="D50">
            <v>12</v>
          </cell>
        </row>
        <row r="51">
          <cell r="B51">
            <v>39773</v>
          </cell>
          <cell r="C51">
            <v>12.1</v>
          </cell>
          <cell r="D51">
            <v>11.7</v>
          </cell>
        </row>
        <row r="52">
          <cell r="B52">
            <v>39804</v>
          </cell>
          <cell r="C52">
            <v>10.3</v>
          </cell>
          <cell r="D52">
            <v>10.9</v>
          </cell>
        </row>
        <row r="53">
          <cell r="B53">
            <v>39836</v>
          </cell>
          <cell r="C53">
            <v>8.1</v>
          </cell>
          <cell r="D53">
            <v>11.6</v>
          </cell>
        </row>
        <row r="54">
          <cell r="B54">
            <v>39868</v>
          </cell>
          <cell r="C54">
            <v>8.6</v>
          </cell>
          <cell r="D54">
            <v>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3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107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101"/>
    </row>
    <row r="11" ht="40.5">
      <c r="A11" s="27"/>
    </row>
    <row r="12" ht="40.5">
      <c r="A12" s="27"/>
    </row>
    <row r="13" ht="40.5">
      <c r="A13" s="27" t="s">
        <v>47</v>
      </c>
    </row>
    <row r="14" ht="40.5">
      <c r="A14" s="27"/>
    </row>
    <row r="15" ht="40.5">
      <c r="A15" s="27" t="s">
        <v>48</v>
      </c>
    </row>
    <row r="16" ht="40.5">
      <c r="A16" s="27"/>
    </row>
    <row r="17" ht="40.5">
      <c r="A17" s="27" t="s">
        <v>49</v>
      </c>
    </row>
    <row r="18" ht="40.5">
      <c r="A18" s="27"/>
    </row>
    <row r="19" ht="40.5">
      <c r="A19" s="29">
        <v>39872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">
      <selection activeCell="B2" sqref="B2:K59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88" t="s">
        <v>78</v>
      </c>
      <c r="C2" s="289"/>
      <c r="D2" s="289"/>
      <c r="E2" s="289"/>
      <c r="F2" s="289"/>
      <c r="G2" s="289"/>
      <c r="H2" s="289"/>
      <c r="I2" s="289"/>
      <c r="J2" s="289"/>
      <c r="K2" s="290"/>
    </row>
    <row r="3" spans="2:11" ht="11.25">
      <c r="B3" s="294" t="s">
        <v>129</v>
      </c>
      <c r="C3" s="295"/>
      <c r="D3" s="295"/>
      <c r="E3" s="295"/>
      <c r="F3" s="295"/>
      <c r="G3" s="295"/>
      <c r="H3" s="295"/>
      <c r="I3" s="295"/>
      <c r="J3" s="295"/>
      <c r="K3" s="296"/>
    </row>
    <row r="4" spans="2:11" ht="11.25">
      <c r="B4" s="110"/>
      <c r="C4" s="22"/>
      <c r="D4" s="22"/>
      <c r="E4" s="22"/>
      <c r="F4" s="284" t="s">
        <v>118</v>
      </c>
      <c r="G4" s="291"/>
      <c r="H4" s="178" t="s">
        <v>148</v>
      </c>
      <c r="I4" s="284" t="s">
        <v>149</v>
      </c>
      <c r="J4" s="292"/>
      <c r="K4" s="293"/>
    </row>
    <row r="5" spans="2:11" ht="11.25">
      <c r="B5" s="111"/>
      <c r="C5" s="12">
        <v>39506</v>
      </c>
      <c r="D5" s="12">
        <v>39842</v>
      </c>
      <c r="E5" s="12">
        <v>39872</v>
      </c>
      <c r="F5" s="12" t="s">
        <v>121</v>
      </c>
      <c r="G5" s="99" t="s">
        <v>120</v>
      </c>
      <c r="H5" s="99" t="s">
        <v>150</v>
      </c>
      <c r="I5" s="12">
        <v>39783</v>
      </c>
      <c r="J5" s="12">
        <v>39814</v>
      </c>
      <c r="K5" s="225">
        <v>39479</v>
      </c>
    </row>
    <row r="6" spans="2:11" ht="11.25">
      <c r="B6" s="112"/>
      <c r="C6" s="189"/>
      <c r="D6" s="189"/>
      <c r="E6" s="189"/>
      <c r="F6" s="190"/>
      <c r="G6" s="190"/>
      <c r="H6" s="190"/>
      <c r="I6" s="186"/>
      <c r="J6" s="186"/>
      <c r="K6" s="226"/>
    </row>
    <row r="7" spans="2:14" ht="11.25">
      <c r="B7" s="113" t="s">
        <v>1</v>
      </c>
      <c r="C7" s="184">
        <v>10542.645694256165</v>
      </c>
      <c r="D7" s="184">
        <v>16856.957270866256</v>
      </c>
      <c r="E7" s="184">
        <v>15871.152679706163</v>
      </c>
      <c r="F7" s="184">
        <v>-985.804591160093</v>
      </c>
      <c r="G7" s="184">
        <v>5328.506985449998</v>
      </c>
      <c r="H7" s="184">
        <v>-5.84805772073618</v>
      </c>
      <c r="I7" s="184">
        <v>82.05139862433228</v>
      </c>
      <c r="J7" s="184">
        <v>62.67412528625513</v>
      </c>
      <c r="K7" s="227">
        <v>50.5424078545395</v>
      </c>
      <c r="L7" s="55"/>
      <c r="N7" s="55"/>
    </row>
    <row r="8" spans="2:12" ht="11.25">
      <c r="B8" s="113" t="s">
        <v>75</v>
      </c>
      <c r="C8" s="184">
        <v>30159.562802060278</v>
      </c>
      <c r="D8" s="184">
        <v>29889.169619681466</v>
      </c>
      <c r="E8" s="184">
        <v>29836.727819770284</v>
      </c>
      <c r="F8" s="192">
        <v>-52.4417999111829</v>
      </c>
      <c r="G8" s="192">
        <v>-322.8349822899945</v>
      </c>
      <c r="H8" s="184">
        <v>-0.17545418818410713</v>
      </c>
      <c r="I8" s="184">
        <v>6.124282222489841</v>
      </c>
      <c r="J8" s="184">
        <v>3.1671065674200527</v>
      </c>
      <c r="K8" s="227">
        <v>-1.0704232830190175</v>
      </c>
      <c r="L8" s="55"/>
    </row>
    <row r="9" spans="2:12" ht="11.25">
      <c r="B9" s="115" t="s">
        <v>143</v>
      </c>
      <c r="C9" s="185">
        <v>-3460.7502438397255</v>
      </c>
      <c r="D9" s="185">
        <v>-6717.882551678535</v>
      </c>
      <c r="E9" s="185">
        <v>-6901.506713419723</v>
      </c>
      <c r="F9" s="188">
        <v>-183.6241617411888</v>
      </c>
      <c r="G9" s="188">
        <v>-3440.756469579998</v>
      </c>
      <c r="H9" s="185">
        <v>2.7333636801272796</v>
      </c>
      <c r="I9" s="185">
        <v>105.09358275510907</v>
      </c>
      <c r="J9" s="185">
        <v>83.01625894410056</v>
      </c>
      <c r="K9" s="228">
        <v>99.4222705237017</v>
      </c>
      <c r="L9" s="55"/>
    </row>
    <row r="10" spans="2:12" ht="11.25">
      <c r="B10" s="115" t="s">
        <v>155</v>
      </c>
      <c r="C10" s="185">
        <v>33620.3130459</v>
      </c>
      <c r="D10" s="185">
        <v>36607.05217136</v>
      </c>
      <c r="E10" s="185">
        <v>36738.23453319001</v>
      </c>
      <c r="F10" s="188">
        <v>131.18236183000408</v>
      </c>
      <c r="G10" s="188">
        <v>3117.9214872900047</v>
      </c>
      <c r="H10" s="185">
        <v>0.35835270541842834</v>
      </c>
      <c r="I10" s="185">
        <v>13.048906018478746</v>
      </c>
      <c r="J10" s="185">
        <v>12.146208024618076</v>
      </c>
      <c r="K10" s="228">
        <v>9.273921640864181</v>
      </c>
      <c r="L10" s="55"/>
    </row>
    <row r="11" spans="2:12" ht="11.25">
      <c r="B11" s="116" t="s">
        <v>82</v>
      </c>
      <c r="C11" s="185">
        <v>2874.63608935</v>
      </c>
      <c r="D11" s="185">
        <v>2567.9314860599998</v>
      </c>
      <c r="E11" s="185">
        <v>2520.1412598499996</v>
      </c>
      <c r="F11" s="188">
        <v>-47.79022621000013</v>
      </c>
      <c r="G11" s="188">
        <v>-354.4948295000004</v>
      </c>
      <c r="H11" s="185">
        <v>-1.8610397695354834</v>
      </c>
      <c r="I11" s="185">
        <v>10.966112310282018</v>
      </c>
      <c r="J11" s="185">
        <v>5.663294614915637</v>
      </c>
      <c r="K11" s="228">
        <v>-12.331815871001506</v>
      </c>
      <c r="L11" s="55"/>
    </row>
    <row r="12" spans="2:12" ht="11.25">
      <c r="B12" s="116" t="s">
        <v>83</v>
      </c>
      <c r="C12" s="185">
        <v>26.272</v>
      </c>
      <c r="D12" s="185">
        <v>89.38140946</v>
      </c>
      <c r="E12" s="185">
        <v>78.23304601000001</v>
      </c>
      <c r="F12" s="188">
        <v>-11.14836344999999</v>
      </c>
      <c r="G12" s="188">
        <v>51.96104601000001</v>
      </c>
      <c r="H12" s="185">
        <v>-12.472798893363962</v>
      </c>
      <c r="I12" s="185">
        <v>82.77728983543938</v>
      </c>
      <c r="J12" s="185">
        <v>260.4379766916687</v>
      </c>
      <c r="K12" s="271">
        <v>197.7810825593789</v>
      </c>
      <c r="L12" s="55"/>
    </row>
    <row r="13" spans="2:12" ht="11.25">
      <c r="B13" s="116" t="s">
        <v>141</v>
      </c>
      <c r="C13" s="185">
        <v>259.15700000000004</v>
      </c>
      <c r="D13" s="185">
        <v>546.67425839</v>
      </c>
      <c r="E13" s="185">
        <v>524.13633568</v>
      </c>
      <c r="F13" s="188">
        <v>-22.537922709999975</v>
      </c>
      <c r="G13" s="188">
        <v>264.97933567999996</v>
      </c>
      <c r="H13" s="185">
        <v>-4.12273348600243</v>
      </c>
      <c r="I13" s="185">
        <v>183.77473664307314</v>
      </c>
      <c r="J13" s="185">
        <v>152.36089186332075</v>
      </c>
      <c r="K13" s="228">
        <v>102.24664418865781</v>
      </c>
      <c r="L13" s="55"/>
    </row>
    <row r="14" spans="2:12" ht="11.25">
      <c r="B14" s="116" t="s">
        <v>142</v>
      </c>
      <c r="C14" s="185">
        <v>10292.84249227</v>
      </c>
      <c r="D14" s="185">
        <v>11301.75741016</v>
      </c>
      <c r="E14" s="185">
        <v>11691.20542326</v>
      </c>
      <c r="F14" s="188">
        <v>389.4480131</v>
      </c>
      <c r="G14" s="188">
        <v>1398.3629309900007</v>
      </c>
      <c r="H14" s="185">
        <v>3.445906675982055</v>
      </c>
      <c r="I14" s="185">
        <v>12.457248685971688</v>
      </c>
      <c r="J14" s="185">
        <v>12.223004929294845</v>
      </c>
      <c r="K14" s="228">
        <v>13.585779944074549</v>
      </c>
      <c r="L14" s="55"/>
    </row>
    <row r="15" spans="2:14" ht="11.25">
      <c r="B15" s="116" t="s">
        <v>84</v>
      </c>
      <c r="C15" s="185">
        <v>20167.405464280004</v>
      </c>
      <c r="D15" s="185">
        <v>22096.45460729</v>
      </c>
      <c r="E15" s="185">
        <v>21919.665468390005</v>
      </c>
      <c r="F15" s="188">
        <v>-176.78913889999603</v>
      </c>
      <c r="G15" s="188">
        <v>1752.2600041100013</v>
      </c>
      <c r="H15" s="185">
        <v>-0.8000792074655735</v>
      </c>
      <c r="I15" s="185">
        <v>11.415654811187892</v>
      </c>
      <c r="J15" s="185">
        <v>11.038941554265636</v>
      </c>
      <c r="K15" s="228">
        <v>8.688574279986394</v>
      </c>
      <c r="L15" s="55"/>
      <c r="M15" s="52"/>
      <c r="N15" s="55"/>
    </row>
    <row r="16" spans="2:14" ht="11.25">
      <c r="B16" s="116" t="s">
        <v>159</v>
      </c>
      <c r="C16" s="185">
        <v>0</v>
      </c>
      <c r="D16" s="185">
        <v>4.853</v>
      </c>
      <c r="E16" s="185">
        <v>4.853</v>
      </c>
      <c r="F16" s="188">
        <v>0</v>
      </c>
      <c r="G16" s="188">
        <v>4.853</v>
      </c>
      <c r="H16" s="185">
        <v>0</v>
      </c>
      <c r="I16" s="185">
        <v>0</v>
      </c>
      <c r="J16" s="185">
        <v>0</v>
      </c>
      <c r="K16" s="228">
        <v>0</v>
      </c>
      <c r="L16" s="55"/>
      <c r="M16" s="52"/>
      <c r="N16" s="55"/>
    </row>
    <row r="17" spans="2:12" ht="11.25">
      <c r="B17" s="113" t="s">
        <v>45</v>
      </c>
      <c r="C17" s="184">
        <v>-12986.873694479591</v>
      </c>
      <c r="D17" s="184">
        <v>-16852.680101572005</v>
      </c>
      <c r="E17" s="184">
        <v>-16339.508155515354</v>
      </c>
      <c r="F17" s="192">
        <v>513.171946056651</v>
      </c>
      <c r="G17" s="192">
        <v>-3352.634461035763</v>
      </c>
      <c r="H17" s="184">
        <v>-3.0450465027742544</v>
      </c>
      <c r="I17" s="184">
        <v>27.718417030703748</v>
      </c>
      <c r="J17" s="184">
        <v>25.526576798868383</v>
      </c>
      <c r="K17" s="227">
        <v>25.815562235435372</v>
      </c>
      <c r="L17" s="55"/>
    </row>
    <row r="18" spans="2:12" ht="12" thickBot="1">
      <c r="B18" s="117" t="s">
        <v>52</v>
      </c>
      <c r="C18" s="187">
        <v>27715.334801836856</v>
      </c>
      <c r="D18" s="187">
        <v>29893.446788975714</v>
      </c>
      <c r="E18" s="187">
        <v>29368.3723439611</v>
      </c>
      <c r="F18" s="191">
        <v>-525.0744450146158</v>
      </c>
      <c r="G18" s="191">
        <v>1653.0375421242425</v>
      </c>
      <c r="H18" s="187">
        <v>-1.756486793648218</v>
      </c>
      <c r="I18" s="187">
        <v>17.866874085413322</v>
      </c>
      <c r="J18" s="187">
        <v>15.381148485475427</v>
      </c>
      <c r="K18" s="229">
        <v>5.964321654374927</v>
      </c>
      <c r="L18" s="55"/>
    </row>
    <row r="19" spans="2:13" ht="11.25">
      <c r="B19" s="179"/>
      <c r="C19" s="34"/>
      <c r="D19" s="34"/>
      <c r="E19" s="34"/>
      <c r="F19" s="34"/>
      <c r="G19" s="34"/>
      <c r="H19" s="34"/>
      <c r="I19" s="34"/>
      <c r="J19" s="34"/>
      <c r="K19" s="34"/>
      <c r="M19" s="52"/>
    </row>
    <row r="20" spans="2:13" ht="11.25">
      <c r="B20" s="146"/>
      <c r="C20" s="34"/>
      <c r="D20" s="34"/>
      <c r="E20" s="34"/>
      <c r="F20" s="34"/>
      <c r="G20" s="34"/>
      <c r="H20" s="34"/>
      <c r="I20" s="34"/>
      <c r="J20" s="34"/>
      <c r="K20" s="34"/>
      <c r="M20" s="52"/>
    </row>
    <row r="21" spans="2:13" ht="12" thickBot="1">
      <c r="B21" s="146"/>
      <c r="C21" s="34"/>
      <c r="D21" s="34"/>
      <c r="E21" s="34"/>
      <c r="F21" s="34"/>
      <c r="G21" s="34"/>
      <c r="H21" s="34"/>
      <c r="I21" s="34"/>
      <c r="J21" s="34"/>
      <c r="K21" s="34"/>
      <c r="M21" s="52"/>
    </row>
    <row r="22" spans="2:11" ht="11.25">
      <c r="B22" s="288" t="s">
        <v>153</v>
      </c>
      <c r="C22" s="289"/>
      <c r="D22" s="289"/>
      <c r="E22" s="289"/>
      <c r="F22" s="289"/>
      <c r="G22" s="289"/>
      <c r="H22" s="289"/>
      <c r="I22" s="289"/>
      <c r="J22" s="289"/>
      <c r="K22" s="290"/>
    </row>
    <row r="23" spans="2:11" ht="11.25">
      <c r="B23" s="277" t="s">
        <v>128</v>
      </c>
      <c r="C23" s="278"/>
      <c r="D23" s="278"/>
      <c r="E23" s="278"/>
      <c r="F23" s="278"/>
      <c r="G23" s="278"/>
      <c r="H23" s="278"/>
      <c r="I23" s="279"/>
      <c r="J23" s="279"/>
      <c r="K23" s="280"/>
    </row>
    <row r="24" spans="2:11" ht="11.25">
      <c r="B24" s="110"/>
      <c r="C24" s="22"/>
      <c r="D24" s="22"/>
      <c r="E24" s="22"/>
      <c r="F24" s="281" t="s">
        <v>118</v>
      </c>
      <c r="G24" s="287"/>
      <c r="H24" s="178" t="s">
        <v>147</v>
      </c>
      <c r="I24" s="281" t="s">
        <v>149</v>
      </c>
      <c r="J24" s="282"/>
      <c r="K24" s="283"/>
    </row>
    <row r="25" spans="2:11" ht="11.25">
      <c r="B25" s="111"/>
      <c r="C25" s="12">
        <f>C5</f>
        <v>39506</v>
      </c>
      <c r="D25" s="12">
        <f>D5</f>
        <v>39842</v>
      </c>
      <c r="E25" s="12">
        <f>E5</f>
        <v>39872</v>
      </c>
      <c r="F25" s="12" t="s">
        <v>121</v>
      </c>
      <c r="G25" s="99" t="s">
        <v>120</v>
      </c>
      <c r="H25" s="99" t="s">
        <v>150</v>
      </c>
      <c r="I25" s="12">
        <f>I5</f>
        <v>39783</v>
      </c>
      <c r="J25" s="12">
        <f>J5</f>
        <v>39814</v>
      </c>
      <c r="K25" s="225">
        <f>K5</f>
        <v>39479</v>
      </c>
    </row>
    <row r="26" spans="2:11" ht="11.25">
      <c r="B26" s="119"/>
      <c r="C26" s="35"/>
      <c r="D26" s="35"/>
      <c r="E26" s="35"/>
      <c r="F26" s="35"/>
      <c r="G26" s="35"/>
      <c r="H26" s="35"/>
      <c r="I26" s="35"/>
      <c r="J26" s="35"/>
      <c r="K26" s="120"/>
    </row>
    <row r="27" spans="2:11" ht="11.25">
      <c r="B27" s="113" t="s">
        <v>52</v>
      </c>
      <c r="C27" s="201">
        <v>27715.35181879822</v>
      </c>
      <c r="D27" s="201">
        <v>29893.491390894793</v>
      </c>
      <c r="E27" s="201">
        <v>29368.384548912996</v>
      </c>
      <c r="F27" s="201">
        <v>-525.1068419817966</v>
      </c>
      <c r="G27" s="201">
        <v>1653.0327301147772</v>
      </c>
      <c r="H27" s="201">
        <v>-1.756592547572874</v>
      </c>
      <c r="I27" s="201">
        <v>17.866874085413322</v>
      </c>
      <c r="J27" s="201">
        <v>15.381148485475427</v>
      </c>
      <c r="K27" s="230">
        <v>5.964321654374927</v>
      </c>
    </row>
    <row r="28" spans="2:12" ht="11.25">
      <c r="B28" s="115" t="s">
        <v>53</v>
      </c>
      <c r="C28" s="202">
        <v>882.0477020199999</v>
      </c>
      <c r="D28" s="202">
        <v>1217.6153437899998</v>
      </c>
      <c r="E28" s="202">
        <v>1264.5339936847818</v>
      </c>
      <c r="F28" s="202">
        <v>46.91864989478199</v>
      </c>
      <c r="G28" s="202">
        <v>382.4862916647819</v>
      </c>
      <c r="H28" s="202">
        <v>3.8533228194005065</v>
      </c>
      <c r="I28" s="202">
        <v>39.0189177996435</v>
      </c>
      <c r="J28" s="202">
        <v>55.6110239599751</v>
      </c>
      <c r="K28" s="231">
        <v>43.36344744040943</v>
      </c>
      <c r="L28" s="52"/>
    </row>
    <row r="29" spans="2:11" ht="11.25">
      <c r="B29" s="115" t="s">
        <v>54</v>
      </c>
      <c r="C29" s="202">
        <v>16645.35352829276</v>
      </c>
      <c r="D29" s="202">
        <v>17746.244522070432</v>
      </c>
      <c r="E29" s="202">
        <v>17683.793264852757</v>
      </c>
      <c r="F29" s="202">
        <v>-62.45125721767545</v>
      </c>
      <c r="G29" s="202">
        <v>1038.439736559998</v>
      </c>
      <c r="H29" s="202">
        <v>-0.35191252515430427</v>
      </c>
      <c r="I29" s="202">
        <v>26.16027365932503</v>
      </c>
      <c r="J29" s="202">
        <v>20.49149901859777</v>
      </c>
      <c r="K29" s="231">
        <v>6.238616288893595</v>
      </c>
    </row>
    <row r="30" spans="2:11" ht="11.25">
      <c r="B30" s="115" t="s">
        <v>55</v>
      </c>
      <c r="C30" s="202">
        <v>10184.02568739</v>
      </c>
      <c r="D30" s="202">
        <v>10925.73056679</v>
      </c>
      <c r="E30" s="202">
        <v>10416.13238928</v>
      </c>
      <c r="F30" s="202">
        <v>-509.5981775100008</v>
      </c>
      <c r="G30" s="202">
        <v>232.10670188999939</v>
      </c>
      <c r="H30" s="202">
        <v>-4.664202310269141</v>
      </c>
      <c r="I30" s="202">
        <v>4.920324942701626</v>
      </c>
      <c r="J30" s="202">
        <v>5.138054889636567</v>
      </c>
      <c r="K30" s="231">
        <v>2.2791252596445988</v>
      </c>
    </row>
    <row r="31" spans="2:11" ht="12" thickBot="1">
      <c r="B31" s="121" t="s">
        <v>112</v>
      </c>
      <c r="C31" s="232">
        <v>3.924901095460822</v>
      </c>
      <c r="D31" s="232">
        <v>3.9009582443606554</v>
      </c>
      <c r="E31" s="232">
        <v>3.924901095460822</v>
      </c>
      <c r="F31" s="232">
        <v>0.023942851100166695</v>
      </c>
      <c r="G31" s="232">
        <v>0</v>
      </c>
      <c r="H31" s="232">
        <v>0.6137684538095022</v>
      </c>
      <c r="I31" s="232">
        <v>-34.87453239696786</v>
      </c>
      <c r="J31" s="232">
        <v>-34.87453239696786</v>
      </c>
      <c r="K31" s="272">
        <v>0</v>
      </c>
    </row>
    <row r="32" spans="2:11" ht="11.25">
      <c r="B32" s="42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6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88" t="s">
        <v>153</v>
      </c>
      <c r="C35" s="289"/>
      <c r="D35" s="289"/>
      <c r="E35" s="289"/>
      <c r="F35" s="289"/>
      <c r="G35" s="289"/>
      <c r="H35" s="289"/>
      <c r="I35" s="289"/>
      <c r="J35" s="289"/>
      <c r="K35" s="290"/>
    </row>
    <row r="36" spans="2:11" ht="11.25">
      <c r="B36" s="277" t="s">
        <v>138</v>
      </c>
      <c r="C36" s="278"/>
      <c r="D36" s="278"/>
      <c r="E36" s="278"/>
      <c r="F36" s="278"/>
      <c r="G36" s="278"/>
      <c r="H36" s="278"/>
      <c r="I36" s="279"/>
      <c r="J36" s="279"/>
      <c r="K36" s="280"/>
    </row>
    <row r="37" spans="2:11" ht="11.25">
      <c r="B37" s="110"/>
      <c r="C37" s="22"/>
      <c r="D37" s="22"/>
      <c r="E37" s="22"/>
      <c r="F37" s="281" t="s">
        <v>118</v>
      </c>
      <c r="G37" s="287"/>
      <c r="H37" s="178" t="s">
        <v>148</v>
      </c>
      <c r="I37" s="284" t="s">
        <v>149</v>
      </c>
      <c r="J37" s="285"/>
      <c r="K37" s="286"/>
    </row>
    <row r="38" spans="2:11" ht="11.25">
      <c r="B38" s="111"/>
      <c r="C38" s="12">
        <f>C25</f>
        <v>39506</v>
      </c>
      <c r="D38" s="12">
        <f>D25</f>
        <v>39842</v>
      </c>
      <c r="E38" s="12">
        <f>E25</f>
        <v>39872</v>
      </c>
      <c r="F38" s="12" t="s">
        <v>121</v>
      </c>
      <c r="G38" s="99" t="s">
        <v>120</v>
      </c>
      <c r="H38" s="99" t="s">
        <v>150</v>
      </c>
      <c r="I38" s="12">
        <f>I25</f>
        <v>39783</v>
      </c>
      <c r="J38" s="12">
        <f>J25</f>
        <v>39814</v>
      </c>
      <c r="K38" s="225">
        <f>K25</f>
        <v>39479</v>
      </c>
    </row>
    <row r="39" spans="2:11" ht="11.25">
      <c r="B39" s="122"/>
      <c r="C39" s="36"/>
      <c r="D39" s="129"/>
      <c r="E39" s="129"/>
      <c r="F39" s="36"/>
      <c r="G39" s="37"/>
      <c r="H39" s="37"/>
      <c r="I39" s="37"/>
      <c r="J39" s="37"/>
      <c r="K39" s="123"/>
    </row>
    <row r="40" spans="2:11" ht="11.25">
      <c r="B40" s="124" t="s">
        <v>154</v>
      </c>
      <c r="C40" s="203">
        <v>30483.948990840003</v>
      </c>
      <c r="D40" s="203">
        <v>33302.28065799</v>
      </c>
      <c r="E40" s="203">
        <v>33512.85798901001</v>
      </c>
      <c r="F40" s="203">
        <v>246.0028591400046</v>
      </c>
      <c r="G40" s="203">
        <v>3028.9089981700054</v>
      </c>
      <c r="H40" s="203">
        <v>0.6323210508691898</v>
      </c>
      <c r="I40" s="203">
        <v>11.35283563157914</v>
      </c>
      <c r="J40" s="203">
        <v>11.012155104584975</v>
      </c>
      <c r="K40" s="233">
        <v>9.936078160608886</v>
      </c>
    </row>
    <row r="41" spans="2:11" ht="11.25">
      <c r="B41" s="253" t="s">
        <v>50</v>
      </c>
      <c r="C41" s="254">
        <v>0</v>
      </c>
      <c r="D41" s="254">
        <v>347.90367176</v>
      </c>
      <c r="E41" s="254">
        <v>383.32919988</v>
      </c>
      <c r="F41" s="254">
        <v>35.42552811999997</v>
      </c>
      <c r="G41" s="254">
        <v>383.32919988</v>
      </c>
      <c r="H41" s="254">
        <v>10.18256804844478</v>
      </c>
      <c r="I41" s="254">
        <v>11.35283563157914</v>
      </c>
      <c r="J41" s="254">
        <v>11.012155104584975</v>
      </c>
      <c r="K41" s="255">
        <v>9.936078160608886</v>
      </c>
    </row>
    <row r="42" spans="2:11" ht="11.25">
      <c r="B42" s="125" t="s">
        <v>139</v>
      </c>
      <c r="C42" s="219">
        <v>10284.956492270001</v>
      </c>
      <c r="D42" s="219">
        <v>11270.18107137</v>
      </c>
      <c r="E42" s="219">
        <v>11656.54254129</v>
      </c>
      <c r="F42" s="219">
        <v>386.3614699200007</v>
      </c>
      <c r="G42" s="219">
        <v>1371.5860490199993</v>
      </c>
      <c r="H42" s="219">
        <v>3.4281744674137227</v>
      </c>
      <c r="I42" s="219">
        <v>12.37156826641279</v>
      </c>
      <c r="J42" s="219">
        <v>11.996282296433769</v>
      </c>
      <c r="K42" s="234">
        <v>13.335846875491008</v>
      </c>
    </row>
    <row r="43" spans="2:11" ht="11.25">
      <c r="B43" s="126" t="s">
        <v>89</v>
      </c>
      <c r="C43" s="205">
        <v>8095.55930369</v>
      </c>
      <c r="D43" s="205">
        <v>8457.16736115</v>
      </c>
      <c r="E43" s="205">
        <v>8784.68512443</v>
      </c>
      <c r="F43" s="204">
        <v>327.5177632800005</v>
      </c>
      <c r="G43" s="204">
        <v>689.1258207399997</v>
      </c>
      <c r="H43" s="204">
        <v>3.8726650342114657</v>
      </c>
      <c r="I43" s="204">
        <v>7.65716431948289</v>
      </c>
      <c r="J43" s="204">
        <v>7.2979235264501785</v>
      </c>
      <c r="K43" s="235">
        <v>8.512392966177051</v>
      </c>
    </row>
    <row r="44" spans="2:11" ht="11.25">
      <c r="B44" s="127" t="s">
        <v>90</v>
      </c>
      <c r="C44" s="206">
        <v>2174.7134847899997</v>
      </c>
      <c r="D44" s="206">
        <v>2564.99879955</v>
      </c>
      <c r="E44" s="206">
        <v>2687.97403911</v>
      </c>
      <c r="F44" s="204">
        <v>122.97523955999986</v>
      </c>
      <c r="G44" s="204">
        <v>513.2605543200002</v>
      </c>
      <c r="H44" s="204">
        <v>4.794358561944531</v>
      </c>
      <c r="I44" s="204">
        <v>17.93533781323586</v>
      </c>
      <c r="J44" s="204">
        <v>12.689427191901736</v>
      </c>
      <c r="K44" s="235">
        <v>23.60129543085825</v>
      </c>
    </row>
    <row r="45" spans="2:11" ht="11.25">
      <c r="B45" s="127" t="s">
        <v>91</v>
      </c>
      <c r="C45" s="206">
        <v>1872.14217954</v>
      </c>
      <c r="D45" s="206">
        <v>1675.52876171</v>
      </c>
      <c r="E45" s="206">
        <v>1816.51476735</v>
      </c>
      <c r="F45" s="204">
        <v>140.98600564000003</v>
      </c>
      <c r="G45" s="204">
        <v>-55.62741218999986</v>
      </c>
      <c r="H45" s="204">
        <v>8.414418711387173</v>
      </c>
      <c r="I45" s="204">
        <v>-8.315822775911297</v>
      </c>
      <c r="J45" s="204">
        <v>-5.35030366812782</v>
      </c>
      <c r="K45" s="235">
        <v>-2.971324122597785</v>
      </c>
    </row>
    <row r="46" spans="2:11" ht="11.25">
      <c r="B46" s="127" t="s">
        <v>92</v>
      </c>
      <c r="C46" s="206">
        <v>4048.70363936</v>
      </c>
      <c r="D46" s="206">
        <v>4216.639799889999</v>
      </c>
      <c r="E46" s="206">
        <v>4280.196317970001</v>
      </c>
      <c r="F46" s="204">
        <v>63.5565180800013</v>
      </c>
      <c r="G46" s="204">
        <v>231.49267861000044</v>
      </c>
      <c r="H46" s="204">
        <v>1.5072788072070873</v>
      </c>
      <c r="I46" s="204">
        <v>9.226770471190493</v>
      </c>
      <c r="J46" s="204">
        <v>9.936004240285978</v>
      </c>
      <c r="K46" s="235">
        <v>5.7176987804074875</v>
      </c>
    </row>
    <row r="47" spans="2:11" ht="11.25">
      <c r="B47" s="126" t="s">
        <v>93</v>
      </c>
      <c r="C47" s="206">
        <v>1323.78749872</v>
      </c>
      <c r="D47" s="206">
        <v>1811.31280551</v>
      </c>
      <c r="E47" s="206">
        <v>1879.09536391</v>
      </c>
      <c r="F47" s="204">
        <v>67.78255839999997</v>
      </c>
      <c r="G47" s="204">
        <v>555.30786519</v>
      </c>
      <c r="H47" s="204">
        <v>3.742178501350288</v>
      </c>
      <c r="I47" s="204">
        <v>37.01136842240294</v>
      </c>
      <c r="J47" s="204">
        <v>37.53407112114697</v>
      </c>
      <c r="K47" s="235">
        <v>41.94841435856886</v>
      </c>
    </row>
    <row r="48" spans="2:11" ht="11.25">
      <c r="B48" s="126" t="s">
        <v>94</v>
      </c>
      <c r="C48" s="206">
        <v>48.152689859999995</v>
      </c>
      <c r="D48" s="206">
        <v>66.01133697</v>
      </c>
      <c r="E48" s="206">
        <v>63.20111169</v>
      </c>
      <c r="F48" s="204">
        <v>-2.8102252800000045</v>
      </c>
      <c r="G48" s="204">
        <v>15.048421830000002</v>
      </c>
      <c r="H48" s="204">
        <v>-4.257185824424614</v>
      </c>
      <c r="I48" s="204">
        <v>36.61547812753281</v>
      </c>
      <c r="J48" s="204">
        <v>44.48014035037933</v>
      </c>
      <c r="K48" s="235">
        <v>31.25146668597758</v>
      </c>
    </row>
    <row r="49" spans="2:12" ht="11.25">
      <c r="B49" s="126" t="s">
        <v>95</v>
      </c>
      <c r="C49" s="206">
        <v>817.457</v>
      </c>
      <c r="D49" s="206">
        <v>935.6895677399999</v>
      </c>
      <c r="E49" s="206">
        <v>929.5609412599999</v>
      </c>
      <c r="F49" s="204">
        <v>-6.12862647999998</v>
      </c>
      <c r="G49" s="204">
        <v>112.10394125999994</v>
      </c>
      <c r="H49" s="204">
        <v>-0.654985017606068</v>
      </c>
      <c r="I49" s="204">
        <v>16.517400752981825</v>
      </c>
      <c r="J49" s="204">
        <v>14.336319903319538</v>
      </c>
      <c r="K49" s="235">
        <v>13.713741672039003</v>
      </c>
      <c r="L49" s="50"/>
    </row>
    <row r="50" spans="2:13" ht="11.25">
      <c r="B50" s="125" t="s">
        <v>140</v>
      </c>
      <c r="C50" s="218">
        <v>20144.108498570004</v>
      </c>
      <c r="D50" s="218">
        <v>21951.74958662</v>
      </c>
      <c r="E50" s="218">
        <v>21774.960447720005</v>
      </c>
      <c r="F50" s="219">
        <v>-176.78913889999603</v>
      </c>
      <c r="G50" s="219">
        <v>1630.851949150001</v>
      </c>
      <c r="H50" s="219">
        <v>-0.8053532963393145</v>
      </c>
      <c r="I50" s="219">
        <v>10.727027390322297</v>
      </c>
      <c r="J50" s="219">
        <v>10.414544529257984</v>
      </c>
      <c r="K50" s="234">
        <v>8.095925164748664</v>
      </c>
      <c r="L50" s="50"/>
      <c r="M50" s="50"/>
    </row>
    <row r="51" spans="2:11" ht="11.25">
      <c r="B51" s="126" t="s">
        <v>96</v>
      </c>
      <c r="C51" s="207">
        <v>16286.918944850002</v>
      </c>
      <c r="D51" s="207">
        <v>17975.30725285</v>
      </c>
      <c r="E51" s="207">
        <v>17757.846135670003</v>
      </c>
      <c r="F51" s="204">
        <v>-217.46111717999884</v>
      </c>
      <c r="G51" s="204">
        <v>1470.9271908200008</v>
      </c>
      <c r="H51" s="204">
        <v>-1.2097769129677611</v>
      </c>
      <c r="I51" s="204">
        <v>11.808711084919521</v>
      </c>
      <c r="J51" s="204">
        <v>12.13649237115282</v>
      </c>
      <c r="K51" s="235">
        <v>9.031341015454085</v>
      </c>
    </row>
    <row r="52" spans="2:11" ht="11.25">
      <c r="B52" s="127" t="s">
        <v>90</v>
      </c>
      <c r="C52" s="206">
        <v>13293.830869720001</v>
      </c>
      <c r="D52" s="206">
        <v>14536.26577503</v>
      </c>
      <c r="E52" s="206">
        <v>14403.993559770002</v>
      </c>
      <c r="F52" s="204">
        <v>-132.27221525999812</v>
      </c>
      <c r="G52" s="204">
        <v>1110.1626900500014</v>
      </c>
      <c r="H52" s="204">
        <v>-0.9099463184500364</v>
      </c>
      <c r="I52" s="204">
        <v>11.162729450742681</v>
      </c>
      <c r="J52" s="204">
        <v>11.258083332480107</v>
      </c>
      <c r="K52" s="235">
        <v>8.35096144166143</v>
      </c>
    </row>
    <row r="53" spans="2:11" ht="11.25">
      <c r="B53" s="127" t="s">
        <v>97</v>
      </c>
      <c r="C53" s="206">
        <v>1822.83240445</v>
      </c>
      <c r="D53" s="206">
        <v>2127.28483104</v>
      </c>
      <c r="E53" s="206">
        <v>2060.1826501799997</v>
      </c>
      <c r="F53" s="204">
        <v>-67.10218086000032</v>
      </c>
      <c r="G53" s="204">
        <v>237.35024572999964</v>
      </c>
      <c r="H53" s="204">
        <v>-3.1543580756505927</v>
      </c>
      <c r="I53" s="204">
        <v>15.127310269314354</v>
      </c>
      <c r="J53" s="204">
        <v>15.70212165583309</v>
      </c>
      <c r="K53" s="235">
        <v>13.020958215937295</v>
      </c>
    </row>
    <row r="54" spans="2:12" ht="11.25">
      <c r="B54" s="127" t="s">
        <v>92</v>
      </c>
      <c r="C54" s="206">
        <v>1170.25567068</v>
      </c>
      <c r="D54" s="206">
        <v>1311.7566467799998</v>
      </c>
      <c r="E54" s="206">
        <v>1293.66992572</v>
      </c>
      <c r="F54" s="204">
        <v>-18.086721059999718</v>
      </c>
      <c r="G54" s="204">
        <v>123.41425503999994</v>
      </c>
      <c r="H54" s="204">
        <v>-1.3788168029792431</v>
      </c>
      <c r="I54" s="204">
        <v>13.983716951169821</v>
      </c>
      <c r="J54" s="204">
        <v>16.507217030252175</v>
      </c>
      <c r="K54" s="235">
        <v>10.545922410979447</v>
      </c>
      <c r="L54" s="50"/>
    </row>
    <row r="55" spans="2:11" ht="11.25">
      <c r="B55" s="126" t="s">
        <v>93</v>
      </c>
      <c r="C55" s="206">
        <v>3385.10407282</v>
      </c>
      <c r="D55" s="206">
        <v>3295.0538053200003</v>
      </c>
      <c r="E55" s="206">
        <v>3282.85424212</v>
      </c>
      <c r="F55" s="204">
        <v>-12.199563200000284</v>
      </c>
      <c r="G55" s="204">
        <v>-102.24983070000008</v>
      </c>
      <c r="H55" s="204">
        <v>-0.37023866439763703</v>
      </c>
      <c r="I55" s="204">
        <v>-1.2125864925086827</v>
      </c>
      <c r="J55" s="204">
        <v>-2.7792917605473644</v>
      </c>
      <c r="K55" s="235">
        <v>-3.020581598096028</v>
      </c>
    </row>
    <row r="56" spans="2:11" ht="11.25">
      <c r="B56" s="126" t="s">
        <v>94</v>
      </c>
      <c r="C56" s="206">
        <v>93.2414809</v>
      </c>
      <c r="D56" s="206">
        <v>93.76390087</v>
      </c>
      <c r="E56" s="206">
        <v>92.95875401</v>
      </c>
      <c r="F56" s="204">
        <v>-0.8051468599999936</v>
      </c>
      <c r="G56" s="204">
        <v>-0.2827268899999922</v>
      </c>
      <c r="H56" s="204">
        <v>-0.8586959933720103</v>
      </c>
      <c r="I56" s="204">
        <v>13.913662728142029</v>
      </c>
      <c r="J56" s="204">
        <v>1.9552426769802622</v>
      </c>
      <c r="K56" s="235">
        <v>-0.30322007680595453</v>
      </c>
    </row>
    <row r="57" spans="2:11" ht="11.25">
      <c r="B57" s="126" t="s">
        <v>95</v>
      </c>
      <c r="C57" s="206">
        <v>378.844</v>
      </c>
      <c r="D57" s="206">
        <v>587.62462758</v>
      </c>
      <c r="E57" s="206">
        <v>641.30131592</v>
      </c>
      <c r="F57" s="204">
        <v>53.67668833999994</v>
      </c>
      <c r="G57" s="204">
        <v>262.45731592</v>
      </c>
      <c r="H57" s="204">
        <v>9.134519865352702</v>
      </c>
      <c r="I57" s="204">
        <v>73.37022737151378</v>
      </c>
      <c r="J57" s="204">
        <v>58.75353643532741</v>
      </c>
      <c r="K57" s="235">
        <v>69.2784671051937</v>
      </c>
    </row>
    <row r="58" spans="2:11" ht="12" thickBot="1">
      <c r="B58" s="128" t="s">
        <v>98</v>
      </c>
      <c r="C58" s="220">
        <v>54.884</v>
      </c>
      <c r="D58" s="220">
        <v>80.35</v>
      </c>
      <c r="E58" s="220">
        <v>81.355</v>
      </c>
      <c r="F58" s="221">
        <v>1.0050000000000097</v>
      </c>
      <c r="G58" s="221">
        <v>26.471000000000004</v>
      </c>
      <c r="H58" s="221">
        <v>1.2507778469197384</v>
      </c>
      <c r="I58" s="221">
        <v>53.32188513642435</v>
      </c>
      <c r="J58" s="221">
        <v>47.26366335544883</v>
      </c>
      <c r="K58" s="236">
        <v>48.230814080606365</v>
      </c>
    </row>
    <row r="59" ht="11.25">
      <c r="B59" s="56" t="s">
        <v>137</v>
      </c>
    </row>
    <row r="62" spans="2:11" ht="12">
      <c r="B62" s="275"/>
      <c r="C62" s="276"/>
      <c r="D62" s="276"/>
      <c r="E62" s="276"/>
      <c r="F62" s="276"/>
      <c r="G62" s="276"/>
      <c r="H62" s="276"/>
      <c r="I62" s="276"/>
      <c r="J62" s="276"/>
      <c r="K62" s="276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57"/>
  <sheetViews>
    <sheetView showGridLines="0" zoomScale="70" zoomScaleNormal="70" workbookViewId="0" topLeftCell="A46">
      <selection activeCell="T72" sqref="T72"/>
    </sheetView>
  </sheetViews>
  <sheetFormatPr defaultColWidth="9.140625" defaultRowHeight="12"/>
  <cols>
    <col min="1" max="16384" width="9.28125" style="1" customWidth="1"/>
  </cols>
  <sheetData>
    <row r="2" spans="1:14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ht="15.75">
      <c r="A4" s="249"/>
      <c r="B4" s="297" t="s">
        <v>117</v>
      </c>
      <c r="C4" s="298"/>
      <c r="D4" s="298"/>
      <c r="E4" s="298"/>
      <c r="F4" s="298"/>
      <c r="G4" s="298"/>
      <c r="H4" s="298"/>
      <c r="I4" s="298"/>
      <c r="J4" s="298"/>
      <c r="K4" s="298"/>
      <c r="L4" s="299"/>
      <c r="M4" s="299"/>
      <c r="N4" s="249"/>
      <c r="O4" s="250"/>
      <c r="P4" s="250"/>
      <c r="Q4" s="250"/>
    </row>
    <row r="5" spans="1:17" ht="15.75">
      <c r="A5" s="249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5"/>
      <c r="M5" s="145"/>
      <c r="N5" s="249"/>
      <c r="O5" s="250"/>
      <c r="P5" s="250"/>
      <c r="Q5" s="250"/>
    </row>
    <row r="6" spans="1:17" ht="15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250"/>
      <c r="Q6" s="250"/>
    </row>
    <row r="7" spans="1:17" ht="15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0"/>
      <c r="P7" s="250"/>
      <c r="Q7" s="250"/>
    </row>
    <row r="8" spans="1:17" ht="1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250"/>
      <c r="Q8" s="250"/>
    </row>
    <row r="9" spans="1:17" ht="1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0"/>
      <c r="P9" s="250"/>
      <c r="Q9" s="250"/>
    </row>
    <row r="10" spans="1:17" ht="1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50"/>
      <c r="P10" s="250"/>
      <c r="Q10" s="250"/>
    </row>
    <row r="11" spans="1:17" ht="1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  <c r="P11" s="250"/>
      <c r="Q11" s="250"/>
    </row>
    <row r="12" spans="1:17" ht="1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50"/>
      <c r="P12" s="250"/>
      <c r="Q12" s="250"/>
    </row>
    <row r="13" spans="1:17" ht="1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  <c r="P13" s="250"/>
      <c r="Q13" s="250"/>
    </row>
    <row r="14" spans="1:17" ht="15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50"/>
      <c r="P14" s="250"/>
      <c r="Q14" s="250"/>
    </row>
    <row r="15" spans="1:17" ht="1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50"/>
      <c r="P15" s="250"/>
      <c r="Q15" s="250"/>
    </row>
    <row r="16" spans="1:17" ht="1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  <c r="P16" s="250"/>
      <c r="Q16" s="250"/>
    </row>
    <row r="17" spans="1:17" ht="15">
      <c r="A17" s="249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50"/>
      <c r="P17" s="250"/>
      <c r="Q17" s="250"/>
    </row>
    <row r="18" spans="1:17" ht="1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50"/>
      <c r="P18" s="250"/>
      <c r="Q18" s="250"/>
    </row>
    <row r="19" spans="1:17" ht="1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50"/>
      <c r="P19" s="250"/>
      <c r="Q19" s="250"/>
    </row>
    <row r="20" spans="1:17" ht="1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  <c r="P20" s="250"/>
      <c r="Q20" s="250"/>
    </row>
    <row r="21" spans="1:17" ht="15">
      <c r="A21" s="250"/>
      <c r="B21" s="250"/>
      <c r="C21" s="250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t="1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ht="1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ht="15.75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9"/>
      <c r="L25" s="299"/>
      <c r="M25" s="250"/>
      <c r="N25" s="250"/>
      <c r="O25" s="250"/>
      <c r="P25" s="250"/>
      <c r="Q25" s="250"/>
    </row>
    <row r="26" spans="1:17" ht="15">
      <c r="A26" s="250"/>
      <c r="B26" s="251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ht="15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0"/>
      <c r="N27" s="250"/>
      <c r="O27" s="250"/>
      <c r="P27" s="250"/>
      <c r="Q27" s="250"/>
    </row>
    <row r="28" spans="1:17" ht="15">
      <c r="A28" s="250"/>
      <c r="N28" s="250"/>
      <c r="O28" s="250"/>
      <c r="P28" s="250"/>
      <c r="Q28" s="250"/>
    </row>
    <row r="29" spans="1:17" ht="15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0"/>
      <c r="N29" s="250"/>
      <c r="O29" s="250"/>
      <c r="P29" s="250"/>
      <c r="Q29" s="250"/>
    </row>
    <row r="30" spans="1:17" ht="16.5">
      <c r="A30" s="250"/>
      <c r="B30" s="300" t="s">
        <v>158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250"/>
      <c r="O30" s="250"/>
      <c r="P30" s="250"/>
      <c r="Q30" s="250"/>
    </row>
    <row r="31" spans="1:17" ht="15">
      <c r="A31" s="25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0"/>
      <c r="N31" s="250"/>
      <c r="O31" s="250"/>
      <c r="P31" s="250"/>
      <c r="Q31" s="250"/>
    </row>
    <row r="32" spans="1:17" ht="15">
      <c r="A32" s="250"/>
      <c r="B32" s="250"/>
      <c r="C32" s="250"/>
      <c r="D32" s="250"/>
      <c r="E32" s="250"/>
      <c r="F32" s="251"/>
      <c r="G32" s="251"/>
      <c r="H32" s="251"/>
      <c r="I32" s="251"/>
      <c r="J32" s="251"/>
      <c r="K32" s="251"/>
      <c r="L32" s="251"/>
      <c r="M32" s="250"/>
      <c r="N32" s="250"/>
      <c r="O32" s="250"/>
      <c r="P32" s="250"/>
      <c r="Q32" s="250"/>
    </row>
    <row r="33" spans="1:17" ht="1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ht="15">
      <c r="A34" s="250"/>
      <c r="N34" s="250"/>
      <c r="O34" s="250"/>
      <c r="P34" s="250"/>
      <c r="Q34" s="250"/>
    </row>
    <row r="35" spans="1:17" ht="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ht="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ht="1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ht="1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ht="1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ht="1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ht="15">
      <c r="A41" s="250"/>
      <c r="N41" s="250"/>
      <c r="O41" s="250"/>
      <c r="P41" s="250"/>
      <c r="Q41" s="250"/>
    </row>
    <row r="42" spans="1:17" ht="1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ht="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t="15">
      <c r="A44" s="250"/>
      <c r="B44" s="250"/>
      <c r="C44" s="252"/>
      <c r="D44" s="252"/>
      <c r="E44" s="252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ht="15">
      <c r="A45" s="250"/>
      <c r="B45" s="250"/>
      <c r="C45" s="252"/>
      <c r="D45" s="252"/>
      <c r="E45" s="252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5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ht="1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ht="1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ht="15">
      <c r="A51" s="250"/>
      <c r="C51" s="15"/>
      <c r="D51" s="265"/>
      <c r="E51" s="265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ht="15">
      <c r="A52" s="250"/>
      <c r="C52" s="15"/>
      <c r="D52" s="265"/>
      <c r="E52" s="265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ht="15">
      <c r="A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ht="15">
      <c r="A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ht="15">
      <c r="A55" s="250"/>
      <c r="B55" s="264" t="s">
        <v>85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ht="15">
      <c r="A56" s="250"/>
      <c r="B56" s="266" t="s">
        <v>136</v>
      </c>
      <c r="C56" s="252"/>
      <c r="D56" s="252"/>
      <c r="E56" s="252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5" ht="15">
      <c r="B57" s="177"/>
      <c r="C57" s="102"/>
      <c r="D57" s="102"/>
      <c r="E57" s="102"/>
    </row>
  </sheetData>
  <sheetProtection/>
  <mergeCells count="3">
    <mergeCell ref="B4:M4"/>
    <mergeCell ref="A25:L25"/>
    <mergeCell ref="B30:M30"/>
  </mergeCells>
  <printOptions horizontalCentered="1"/>
  <pageMargins left="0.43" right="0.29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showGridLines="0" zoomScale="80" zoomScaleNormal="80" zoomScalePageLayoutView="0" workbookViewId="0" topLeftCell="A1">
      <selection activeCell="B2" sqref="B2:R94"/>
    </sheetView>
  </sheetViews>
  <sheetFormatPr defaultColWidth="9.140625" defaultRowHeight="12"/>
  <sheetData>
    <row r="2" spans="2:13" ht="12.75">
      <c r="B2" s="302" t="s">
        <v>135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26" ht="11.25">
      <c r="A26" s="180"/>
    </row>
    <row r="29" ht="11.25">
      <c r="B29" s="102"/>
    </row>
    <row r="30" spans="2:13" ht="12.75">
      <c r="B30" s="302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</row>
    <row r="40" spans="2:13" ht="12.75">
      <c r="B40" s="302" t="s">
        <v>151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</row>
    <row r="77" ht="11.25">
      <c r="B77" s="102" t="s">
        <v>123</v>
      </c>
    </row>
  </sheetData>
  <sheetProtection/>
  <mergeCells count="3">
    <mergeCell ref="B2:M2"/>
    <mergeCell ref="B40:M40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80" zoomScaleNormal="80" zoomScaleSheetLayoutView="75" zoomScalePageLayoutView="0" workbookViewId="0" topLeftCell="A54">
      <selection activeCell="A1" sqref="A1:C87"/>
    </sheetView>
  </sheetViews>
  <sheetFormatPr defaultColWidth="9.1406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46</v>
      </c>
    </row>
    <row r="2" spans="1:4" ht="12.75" thickBot="1">
      <c r="A2" s="3" t="s">
        <v>2</v>
      </c>
      <c r="B2" s="47">
        <v>39816</v>
      </c>
      <c r="C2" s="47">
        <v>39848</v>
      </c>
      <c r="D2" s="4"/>
    </row>
    <row r="3" spans="1:4" ht="12">
      <c r="A3" s="5"/>
      <c r="B3" s="32"/>
      <c r="C3" s="32"/>
      <c r="D3" s="4"/>
    </row>
    <row r="4" spans="1:4" ht="12">
      <c r="A4" s="5" t="s">
        <v>3</v>
      </c>
      <c r="B4" s="33">
        <v>10</v>
      </c>
      <c r="C4" s="33">
        <v>9</v>
      </c>
      <c r="D4" s="4"/>
    </row>
    <row r="5" spans="1:4" ht="12">
      <c r="A5" s="5"/>
      <c r="B5" s="33"/>
      <c r="C5" s="33"/>
      <c r="D5" s="4"/>
    </row>
    <row r="6" spans="1:4" ht="12">
      <c r="A6" s="5" t="s">
        <v>41</v>
      </c>
      <c r="B6" s="33">
        <v>14.75</v>
      </c>
      <c r="C6" s="33">
        <v>13.75</v>
      </c>
      <c r="D6" s="4"/>
    </row>
    <row r="7" spans="1:4" ht="12">
      <c r="A7" s="5"/>
      <c r="B7" s="33"/>
      <c r="C7" s="33"/>
      <c r="D7" s="4"/>
    </row>
    <row r="8" spans="1:4" ht="12">
      <c r="A8" s="5" t="s">
        <v>4</v>
      </c>
      <c r="B8" s="33">
        <v>14.75</v>
      </c>
      <c r="C8" s="33">
        <v>13.75</v>
      </c>
      <c r="D8" s="4"/>
    </row>
    <row r="9" spans="1:4" ht="12">
      <c r="A9" s="5"/>
      <c r="B9" s="33"/>
      <c r="C9" s="33"/>
      <c r="D9" s="4"/>
    </row>
    <row r="10" spans="1:4" ht="12">
      <c r="A10" s="5" t="s">
        <v>108</v>
      </c>
      <c r="B10" s="51">
        <v>12.96</v>
      </c>
      <c r="C10" s="51">
        <v>13.84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5</v>
      </c>
      <c r="B12" s="51">
        <v>8.29</v>
      </c>
      <c r="C12" s="51">
        <v>8.46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6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7</v>
      </c>
      <c r="B16" s="51">
        <v>10.44</v>
      </c>
      <c r="C16" s="51">
        <v>10.22</v>
      </c>
    </row>
    <row r="17" spans="1:3" ht="12">
      <c r="A17" s="5" t="s">
        <v>40</v>
      </c>
      <c r="B17" s="51">
        <v>11.16</v>
      </c>
      <c r="C17" s="51">
        <v>10.91</v>
      </c>
    </row>
    <row r="18" spans="1:3" ht="12">
      <c r="A18" s="5" t="s">
        <v>8</v>
      </c>
      <c r="B18" s="51">
        <v>150</v>
      </c>
      <c r="C18" s="51">
        <v>150</v>
      </c>
    </row>
    <row r="19" spans="1:3" ht="12">
      <c r="A19" s="5" t="s">
        <v>9</v>
      </c>
      <c r="B19" s="51">
        <v>150</v>
      </c>
      <c r="C19" s="51">
        <v>150</v>
      </c>
    </row>
    <row r="20" spans="1:3" ht="12">
      <c r="A20" s="5"/>
      <c r="B20" s="33"/>
      <c r="C20" s="33"/>
    </row>
    <row r="21" spans="1:3" ht="12">
      <c r="A21" s="6" t="s">
        <v>10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7</v>
      </c>
      <c r="B23" s="51">
        <v>10.24</v>
      </c>
      <c r="C23" s="51">
        <v>8.33</v>
      </c>
    </row>
    <row r="24" spans="1:3" ht="12">
      <c r="A24" s="5" t="s">
        <v>39</v>
      </c>
      <c r="B24" s="51">
        <v>11.08</v>
      </c>
      <c r="C24" s="51">
        <v>8.88</v>
      </c>
    </row>
    <row r="25" spans="1:3" ht="12">
      <c r="A25" s="5" t="s">
        <v>8</v>
      </c>
      <c r="B25" s="51">
        <v>100</v>
      </c>
      <c r="C25" s="51">
        <v>200</v>
      </c>
    </row>
    <row r="26" spans="1:3" ht="12">
      <c r="A26" s="5" t="s">
        <v>9</v>
      </c>
      <c r="B26" s="51">
        <v>100</v>
      </c>
      <c r="C26" s="51">
        <v>200</v>
      </c>
    </row>
    <row r="27" spans="1:3" ht="12">
      <c r="A27" s="5"/>
      <c r="B27" s="33"/>
      <c r="C27" s="33"/>
    </row>
    <row r="28" spans="1:3" ht="12">
      <c r="A28" s="6" t="s">
        <v>42</v>
      </c>
      <c r="B28" s="33"/>
      <c r="C28" s="33"/>
    </row>
    <row r="29" spans="1:3" ht="12">
      <c r="A29" s="5"/>
      <c r="B29" s="49"/>
      <c r="C29" s="49"/>
    </row>
    <row r="30" spans="1:3" ht="12">
      <c r="A30" s="5" t="s">
        <v>7</v>
      </c>
      <c r="B30" s="51">
        <v>10.24</v>
      </c>
      <c r="C30" s="51">
        <v>9.29</v>
      </c>
    </row>
    <row r="31" spans="1:3" ht="12">
      <c r="A31" s="5" t="s">
        <v>39</v>
      </c>
      <c r="B31" s="51">
        <v>11.38</v>
      </c>
      <c r="C31" s="51">
        <v>10.24</v>
      </c>
    </row>
    <row r="32" spans="1:3" ht="12">
      <c r="A32" s="5" t="s">
        <v>8</v>
      </c>
      <c r="B32" s="51">
        <v>200</v>
      </c>
      <c r="C32" s="51">
        <v>100</v>
      </c>
    </row>
    <row r="33" spans="1:3" ht="12">
      <c r="A33" s="5" t="s">
        <v>9</v>
      </c>
      <c r="B33" s="51">
        <v>150</v>
      </c>
      <c r="C33" s="51">
        <v>100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43</v>
      </c>
      <c r="B37" s="181">
        <v>3504</v>
      </c>
      <c r="C37" s="181">
        <v>3505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6"/>
      <c r="C40" s="106"/>
    </row>
    <row r="41" spans="1:3" ht="12.75" thickBot="1">
      <c r="A41" s="3" t="s">
        <v>11</v>
      </c>
      <c r="B41" s="47">
        <f>B2</f>
        <v>39816</v>
      </c>
      <c r="C41" s="47">
        <f>C2</f>
        <v>39848</v>
      </c>
    </row>
    <row r="42" spans="1:3" ht="12">
      <c r="A42" s="5"/>
      <c r="B42" s="107"/>
      <c r="C42" s="107"/>
    </row>
    <row r="43" spans="1:3" ht="12">
      <c r="A43" s="6" t="s">
        <v>12</v>
      </c>
      <c r="B43" s="30"/>
      <c r="C43" s="30"/>
    </row>
    <row r="44" spans="1:3" ht="12">
      <c r="A44" s="7" t="s">
        <v>87</v>
      </c>
      <c r="B44" s="30"/>
      <c r="C44" s="30"/>
    </row>
    <row r="45" spans="1:3" ht="12">
      <c r="A45" s="5" t="s">
        <v>13</v>
      </c>
      <c r="B45" s="48">
        <v>8.82</v>
      </c>
      <c r="C45" s="48">
        <v>8.82</v>
      </c>
    </row>
    <row r="46" spans="1:3" ht="12">
      <c r="A46" s="5" t="s">
        <v>8</v>
      </c>
      <c r="B46" s="48">
        <v>8</v>
      </c>
      <c r="C46" s="48">
        <v>8</v>
      </c>
    </row>
    <row r="47" spans="1:3" ht="12">
      <c r="A47" s="5" t="s">
        <v>9</v>
      </c>
      <c r="B47" s="48">
        <v>0</v>
      </c>
      <c r="C47" s="48">
        <v>0</v>
      </c>
    </row>
    <row r="48" spans="1:3" ht="12">
      <c r="A48" s="5"/>
      <c r="B48" s="33"/>
      <c r="C48" s="33"/>
    </row>
    <row r="49" spans="1:3" ht="12">
      <c r="A49" s="5" t="s">
        <v>14</v>
      </c>
      <c r="B49" s="181">
        <v>5804.68</v>
      </c>
      <c r="C49" s="181">
        <v>5805.68</v>
      </c>
    </row>
    <row r="50" spans="1:3" ht="12.75" thickBot="1">
      <c r="A50" s="5"/>
      <c r="B50" s="106"/>
      <c r="C50" s="106"/>
    </row>
    <row r="51" spans="1:3" ht="12.75" thickBot="1">
      <c r="A51" s="3" t="s">
        <v>15</v>
      </c>
      <c r="B51" s="47">
        <f>B41</f>
        <v>39816</v>
      </c>
      <c r="C51" s="47">
        <f>C41</f>
        <v>39848</v>
      </c>
    </row>
    <row r="52" spans="1:3" ht="12">
      <c r="A52" s="5"/>
      <c r="B52" s="107"/>
      <c r="C52" s="107"/>
    </row>
    <row r="53" spans="1:3" ht="12">
      <c r="A53" s="6" t="s">
        <v>16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17</v>
      </c>
      <c r="B55" s="181">
        <v>20</v>
      </c>
      <c r="C55" s="181">
        <v>24</v>
      </c>
      <c r="D55" s="8"/>
    </row>
    <row r="56" spans="1:9" ht="12">
      <c r="A56" s="5" t="s">
        <v>18</v>
      </c>
      <c r="B56" s="182">
        <v>753.83</v>
      </c>
      <c r="C56" s="182">
        <v>441.98</v>
      </c>
      <c r="D56" s="8"/>
      <c r="G56" s="9"/>
      <c r="I56" s="9"/>
    </row>
    <row r="57" spans="1:4" ht="12">
      <c r="A57" s="5" t="s">
        <v>19</v>
      </c>
      <c r="B57" s="182">
        <v>516.37</v>
      </c>
      <c r="C57" s="182">
        <v>420.02</v>
      </c>
      <c r="D57" s="10"/>
    </row>
    <row r="58" spans="1:4" ht="12">
      <c r="A58" s="5" t="s">
        <v>20</v>
      </c>
      <c r="B58" s="182">
        <v>679.24</v>
      </c>
      <c r="C58" s="182">
        <v>561.1</v>
      </c>
      <c r="D58" s="10"/>
    </row>
    <row r="59" spans="1:4" ht="12">
      <c r="A59" s="5" t="s">
        <v>21</v>
      </c>
      <c r="B59" s="182">
        <v>272.71</v>
      </c>
      <c r="C59" s="182">
        <v>205.79</v>
      </c>
      <c r="D59" s="10"/>
    </row>
    <row r="60" spans="1:9" ht="12">
      <c r="A60" s="5" t="s">
        <v>22</v>
      </c>
      <c r="B60" s="182">
        <v>348.87</v>
      </c>
      <c r="C60" s="182">
        <v>302.31</v>
      </c>
      <c r="D60" s="10"/>
      <c r="G60" s="9"/>
      <c r="I60" s="9"/>
    </row>
    <row r="61" spans="1:9" ht="12">
      <c r="A61" s="5" t="s">
        <v>23</v>
      </c>
      <c r="B61" s="182">
        <v>8.82</v>
      </c>
      <c r="C61" s="182">
        <v>8.05</v>
      </c>
      <c r="D61" s="10"/>
      <c r="G61" s="9"/>
      <c r="I61" s="9"/>
    </row>
    <row r="62" spans="1:3" ht="12">
      <c r="A62" s="5" t="s">
        <v>24</v>
      </c>
      <c r="B62" s="182">
        <v>46.12</v>
      </c>
      <c r="C62" s="182">
        <v>41.31</v>
      </c>
    </row>
    <row r="63" spans="1:3" ht="12">
      <c r="A63" s="5" t="s">
        <v>25</v>
      </c>
      <c r="B63" s="182">
        <v>2.72</v>
      </c>
      <c r="C63" s="182">
        <v>3.14</v>
      </c>
    </row>
    <row r="64" spans="1:3" ht="12">
      <c r="A64" s="5"/>
      <c r="B64" s="182"/>
      <c r="C64" s="182"/>
    </row>
    <row r="65" spans="1:3" ht="12">
      <c r="A65" s="6" t="s">
        <v>26</v>
      </c>
      <c r="B65" s="182"/>
      <c r="C65" s="182"/>
    </row>
    <row r="66" spans="1:4" ht="12">
      <c r="A66" s="5"/>
      <c r="B66" s="182"/>
      <c r="C66" s="182"/>
      <c r="D66" s="8"/>
    </row>
    <row r="67" spans="1:4" ht="12">
      <c r="A67" s="5" t="s">
        <v>17</v>
      </c>
      <c r="B67" s="182">
        <v>0.52</v>
      </c>
      <c r="C67" s="182">
        <v>0.39</v>
      </c>
      <c r="D67" s="8"/>
    </row>
    <row r="68" spans="1:4" ht="12">
      <c r="A68" s="5" t="s">
        <v>18</v>
      </c>
      <c r="B68" s="182">
        <v>5.475</v>
      </c>
      <c r="C68" s="182">
        <v>3.68</v>
      </c>
      <c r="D68" s="9"/>
    </row>
    <row r="69" spans="1:4" ht="12">
      <c r="A69" s="5" t="s">
        <v>19</v>
      </c>
      <c r="B69" s="182">
        <v>159.63</v>
      </c>
      <c r="C69" s="182">
        <v>160.02</v>
      </c>
      <c r="D69" s="9"/>
    </row>
    <row r="70" spans="1:4" ht="12">
      <c r="A70" s="5" t="s">
        <v>20</v>
      </c>
      <c r="B70" s="51">
        <v>5.78</v>
      </c>
      <c r="C70" s="51">
        <v>5.81</v>
      </c>
      <c r="D70" s="9"/>
    </row>
    <row r="71" spans="1:4" ht="12">
      <c r="A71" s="5" t="s">
        <v>21</v>
      </c>
      <c r="B71" s="33">
        <v>0</v>
      </c>
      <c r="C71" s="33">
        <v>0</v>
      </c>
      <c r="D71" s="9"/>
    </row>
    <row r="72" spans="1:4" ht="12">
      <c r="A72" s="5" t="s">
        <v>22</v>
      </c>
      <c r="B72" s="33">
        <v>4.53</v>
      </c>
      <c r="C72" s="33">
        <v>4.56</v>
      </c>
      <c r="D72" s="9"/>
    </row>
    <row r="73" spans="1:3" ht="12">
      <c r="A73" s="5" t="s">
        <v>23</v>
      </c>
      <c r="B73" s="33">
        <v>1.1</v>
      </c>
      <c r="C73" s="33">
        <v>1.1</v>
      </c>
    </row>
    <row r="74" spans="1:3" ht="12">
      <c r="A74" s="5" t="s">
        <v>24</v>
      </c>
      <c r="B74" s="33">
        <v>0.51</v>
      </c>
      <c r="C74" s="33">
        <v>0.51</v>
      </c>
    </row>
    <row r="75" spans="1:3" ht="12">
      <c r="A75" s="5" t="s">
        <v>25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156</v>
      </c>
      <c r="B77" s="33"/>
      <c r="C77" s="33"/>
    </row>
    <row r="78" spans="1:3" ht="12">
      <c r="A78" s="5" t="s">
        <v>157</v>
      </c>
      <c r="B78" s="33">
        <v>0</v>
      </c>
      <c r="C78" s="33">
        <v>0</v>
      </c>
    </row>
    <row r="79" spans="1:3" ht="12">
      <c r="A79" s="5" t="s">
        <v>20</v>
      </c>
      <c r="B79" s="33">
        <v>5.84</v>
      </c>
      <c r="C79" s="33">
        <v>5.61</v>
      </c>
    </row>
    <row r="80" spans="1:3" ht="12.75" thickBot="1">
      <c r="A80" s="5"/>
      <c r="B80" s="33"/>
      <c r="C80" s="33"/>
    </row>
    <row r="81" spans="1:3" ht="12.75" thickBot="1">
      <c r="A81" s="3" t="s">
        <v>86</v>
      </c>
      <c r="B81" s="47">
        <f>B51</f>
        <v>39816</v>
      </c>
      <c r="C81" s="47">
        <f>C51</f>
        <v>39848</v>
      </c>
    </row>
    <row r="82" spans="1:3" ht="12">
      <c r="A82" s="5"/>
      <c r="B82" s="107"/>
      <c r="C82" s="107"/>
    </row>
    <row r="83" spans="1:3" ht="12">
      <c r="A83" s="5" t="s">
        <v>27</v>
      </c>
      <c r="B83" s="105">
        <v>11.6</v>
      </c>
      <c r="C83" s="105">
        <v>11.6</v>
      </c>
    </row>
    <row r="84" spans="1:3" ht="12">
      <c r="A84" s="5" t="s">
        <v>28</v>
      </c>
      <c r="B84" s="105">
        <v>2.2</v>
      </c>
      <c r="C84" s="105">
        <v>2.6</v>
      </c>
    </row>
    <row r="85" spans="1:3" ht="12.75" thickBot="1">
      <c r="A85" s="11" t="s">
        <v>29</v>
      </c>
      <c r="B85" s="53">
        <v>2.2</v>
      </c>
      <c r="C85" s="53">
        <v>0.4</v>
      </c>
    </row>
    <row r="86" ht="12">
      <c r="A86" s="2" t="s">
        <v>114</v>
      </c>
    </row>
    <row r="87" ht="12">
      <c r="A87" s="2" t="s">
        <v>122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97"/>
  <sheetViews>
    <sheetView showGridLines="0" zoomScale="80" zoomScaleNormal="80" zoomScaleSheetLayoutView="75" zoomScalePageLayoutView="0" workbookViewId="0" topLeftCell="A41">
      <selection activeCell="B4" sqref="A4:P82"/>
    </sheetView>
  </sheetViews>
  <sheetFormatPr defaultColWidth="9.140625" defaultRowHeight="12"/>
  <cols>
    <col min="1" max="1" width="3.421875" style="0" customWidth="1"/>
  </cols>
  <sheetData>
    <row r="2" spans="4:14" ht="15.75">
      <c r="D2" s="307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2:12" ht="20.25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6" ht="20.25">
      <c r="A4" s="14"/>
      <c r="B4" s="309" t="s">
        <v>115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14"/>
      <c r="N4" s="14"/>
      <c r="O4" s="14"/>
      <c r="P4" s="14"/>
    </row>
    <row r="5" spans="1:16" ht="18">
      <c r="A5" s="14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B27" s="131"/>
      <c r="C27" s="103"/>
      <c r="D27" s="9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4"/>
      <c r="B28" s="96"/>
      <c r="C28" s="97"/>
      <c r="D28" s="9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0.25">
      <c r="A29" s="14"/>
      <c r="B29" s="309" t="s">
        <v>152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C36" s="10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1:16" ht="15">
      <c r="K39" s="14"/>
      <c r="L39" s="14"/>
      <c r="M39" s="14"/>
      <c r="N39" s="14"/>
      <c r="O39" s="14"/>
      <c r="P39" s="14"/>
    </row>
    <row r="40" spans="1:16" ht="15">
      <c r="A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4"/>
      <c r="B50" s="14"/>
      <c r="N50" s="14"/>
      <c r="O50" s="14"/>
      <c r="P50" s="14"/>
    </row>
    <row r="51" spans="1:16" ht="15">
      <c r="A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4"/>
      <c r="B52" s="130" t="s">
        <v>110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4"/>
      <c r="B53" s="14"/>
      <c r="N53" s="14"/>
      <c r="O53" s="14"/>
      <c r="P53" s="14"/>
    </row>
    <row r="54" spans="1:16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0.25">
      <c r="A55" s="14"/>
      <c r="B55" s="305" t="s">
        <v>116</v>
      </c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14"/>
      <c r="N55" s="14"/>
      <c r="O55" s="14"/>
      <c r="P55" s="14"/>
    </row>
    <row r="56" spans="1:16" ht="1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82" ht="15">
      <c r="B82" s="130" t="s">
        <v>111</v>
      </c>
    </row>
    <row r="97" spans="3:5" ht="11.25">
      <c r="C97" s="132"/>
      <c r="D97" s="132"/>
      <c r="E97" s="132"/>
    </row>
  </sheetData>
  <sheetProtection/>
  <mergeCells count="6">
    <mergeCell ref="A7:J7"/>
    <mergeCell ref="B55:L55"/>
    <mergeCell ref="D2:N2"/>
    <mergeCell ref="B4:L4"/>
    <mergeCell ref="B3:L3"/>
    <mergeCell ref="B29:L29"/>
  </mergeCells>
  <printOptions horizontalCentered="1"/>
  <pageMargins left="0.17" right="0.6" top="0.42" bottom="0.5" header="0.44" footer="0.5"/>
  <pageSetup fitToWidth="2" fitToHeight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W21"/>
  <sheetViews>
    <sheetView showGridLines="0" zoomScale="90" zoomScaleNormal="90" zoomScaleSheetLayoutView="75" zoomScalePageLayoutView="0" workbookViewId="0" topLeftCell="A1">
      <pane xSplit="59" ySplit="4" topLeftCell="BK7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2" sqref="B2:BW23"/>
    </sheetView>
  </sheetViews>
  <sheetFormatPr defaultColWidth="9.140625" defaultRowHeight="19.5" customHeight="1"/>
  <cols>
    <col min="1" max="1" width="4.7109375" style="31" customWidth="1"/>
    <col min="2" max="2" width="57.8515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customWidth="1"/>
    <col min="64" max="64" width="11.8515625" style="31" customWidth="1"/>
    <col min="65" max="65" width="12.140625" style="31" customWidth="1"/>
    <col min="66" max="66" width="11.7109375" style="31" customWidth="1"/>
    <col min="67" max="67" width="12.421875" style="31" customWidth="1"/>
    <col min="68" max="68" width="13.140625" style="31" customWidth="1"/>
    <col min="69" max="69" width="14.140625" style="31" customWidth="1"/>
    <col min="70" max="70" width="13.421875" style="31" customWidth="1"/>
    <col min="71" max="71" width="13.7109375" style="31" customWidth="1"/>
    <col min="72" max="73" width="14.00390625" style="31" customWidth="1"/>
    <col min="74" max="74" width="14.7109375" style="31" customWidth="1"/>
    <col min="75" max="75" width="13.8515625" style="31" customWidth="1"/>
    <col min="76" max="16384" width="9.140625" style="31" customWidth="1"/>
  </cols>
  <sheetData>
    <row r="2" spans="1:48" ht="19.5" customHeight="1">
      <c r="A2" s="146"/>
      <c r="B2" s="147" t="s">
        <v>134</v>
      </c>
      <c r="C2" s="148"/>
      <c r="D2" s="148"/>
      <c r="E2" s="148"/>
      <c r="F2" s="149"/>
      <c r="G2" s="150"/>
      <c r="H2" s="149"/>
      <c r="I2" s="150"/>
      <c r="J2" s="150"/>
      <c r="K2" s="149"/>
      <c r="L2" s="149"/>
      <c r="M2" s="150"/>
      <c r="N2" s="150"/>
      <c r="O2" s="151"/>
      <c r="P2" s="150"/>
      <c r="Q2" s="149"/>
      <c r="R2" s="150"/>
      <c r="S2" s="150"/>
      <c r="T2" s="152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</row>
    <row r="3" spans="1:62" ht="19.5" customHeight="1" thickBot="1">
      <c r="A3" s="146"/>
      <c r="B3" s="137"/>
      <c r="C3" s="137"/>
      <c r="D3" s="137"/>
      <c r="E3" s="137"/>
      <c r="F3" s="138"/>
      <c r="G3" s="138"/>
      <c r="H3" s="138"/>
      <c r="I3" s="139"/>
      <c r="J3" s="139"/>
      <c r="K3" s="138"/>
      <c r="L3" s="138"/>
      <c r="M3" s="139"/>
      <c r="N3" s="139"/>
      <c r="O3" s="140"/>
      <c r="P3" s="139"/>
      <c r="Q3" s="138"/>
      <c r="R3" s="139"/>
      <c r="S3" s="139"/>
      <c r="T3" s="141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75" ht="19.5" customHeight="1" thickBot="1">
      <c r="A4" s="146"/>
      <c r="B4" s="174"/>
      <c r="C4" s="135">
        <v>37655</v>
      </c>
      <c r="D4" s="135">
        <v>37681</v>
      </c>
      <c r="E4" s="135">
        <v>37712</v>
      </c>
      <c r="F4" s="135">
        <v>37742</v>
      </c>
      <c r="G4" s="135">
        <v>37773</v>
      </c>
      <c r="H4" s="135">
        <v>37803</v>
      </c>
      <c r="I4" s="135">
        <v>37834</v>
      </c>
      <c r="J4" s="135">
        <v>37865</v>
      </c>
      <c r="K4" s="135">
        <v>37895</v>
      </c>
      <c r="L4" s="135">
        <v>37926</v>
      </c>
      <c r="M4" s="135">
        <v>37956</v>
      </c>
      <c r="N4" s="135">
        <v>37987</v>
      </c>
      <c r="O4" s="136">
        <v>38018</v>
      </c>
      <c r="P4" s="135">
        <v>38047</v>
      </c>
      <c r="Q4" s="135">
        <v>38078</v>
      </c>
      <c r="R4" s="135">
        <v>38108</v>
      </c>
      <c r="S4" s="135">
        <v>38139</v>
      </c>
      <c r="T4" s="135">
        <v>38169</v>
      </c>
      <c r="U4" s="135">
        <v>38200</v>
      </c>
      <c r="V4" s="135">
        <v>38231</v>
      </c>
      <c r="W4" s="135">
        <v>38261</v>
      </c>
      <c r="X4" s="135">
        <v>38292</v>
      </c>
      <c r="Y4" s="135">
        <v>38322</v>
      </c>
      <c r="Z4" s="135">
        <v>38353</v>
      </c>
      <c r="AA4" s="135">
        <v>38384</v>
      </c>
      <c r="AB4" s="135">
        <v>38412</v>
      </c>
      <c r="AC4" s="135">
        <v>38443</v>
      </c>
      <c r="AD4" s="135">
        <v>38473</v>
      </c>
      <c r="AE4" s="135">
        <v>38504</v>
      </c>
      <c r="AF4" s="135">
        <v>38534</v>
      </c>
      <c r="AG4" s="135">
        <v>38565</v>
      </c>
      <c r="AH4" s="135">
        <v>38596</v>
      </c>
      <c r="AI4" s="135">
        <v>38626</v>
      </c>
      <c r="AJ4" s="135">
        <v>38657</v>
      </c>
      <c r="AK4" s="135">
        <v>38687</v>
      </c>
      <c r="AL4" s="135">
        <v>38718</v>
      </c>
      <c r="AM4" s="135">
        <v>38749</v>
      </c>
      <c r="AN4" s="135">
        <v>38777</v>
      </c>
      <c r="AO4" s="135">
        <v>38808</v>
      </c>
      <c r="AP4" s="135">
        <v>38838</v>
      </c>
      <c r="AQ4" s="135">
        <v>38869</v>
      </c>
      <c r="AR4" s="135">
        <v>38929</v>
      </c>
      <c r="AS4" s="135">
        <v>38960</v>
      </c>
      <c r="AT4" s="135">
        <v>38990</v>
      </c>
      <c r="AU4" s="135">
        <v>39021</v>
      </c>
      <c r="AV4" s="135">
        <v>39051</v>
      </c>
      <c r="AW4" s="135">
        <v>39082</v>
      </c>
      <c r="AX4" s="183">
        <v>39113</v>
      </c>
      <c r="AY4" s="183">
        <v>39141</v>
      </c>
      <c r="AZ4" s="183">
        <v>39172</v>
      </c>
      <c r="BA4" s="183">
        <v>39202</v>
      </c>
      <c r="BB4" s="183">
        <v>39233</v>
      </c>
      <c r="BC4" s="183">
        <v>39263</v>
      </c>
      <c r="BD4" s="183">
        <v>39294</v>
      </c>
      <c r="BE4" s="183">
        <v>39325</v>
      </c>
      <c r="BF4" s="183">
        <v>39355</v>
      </c>
      <c r="BG4" s="183">
        <v>39386</v>
      </c>
      <c r="BH4" s="183">
        <v>39416</v>
      </c>
      <c r="BI4" s="183">
        <v>39447</v>
      </c>
      <c r="BJ4" s="183">
        <v>39478</v>
      </c>
      <c r="BK4" s="183">
        <v>39507</v>
      </c>
      <c r="BL4" s="183">
        <v>39538</v>
      </c>
      <c r="BM4" s="183">
        <v>39568</v>
      </c>
      <c r="BN4" s="183">
        <v>39599</v>
      </c>
      <c r="BO4" s="183">
        <v>39629</v>
      </c>
      <c r="BP4" s="183">
        <v>39660</v>
      </c>
      <c r="BQ4" s="183">
        <v>39691</v>
      </c>
      <c r="BR4" s="183">
        <v>39721</v>
      </c>
      <c r="BS4" s="183">
        <v>39752</v>
      </c>
      <c r="BT4" s="183">
        <v>39782</v>
      </c>
      <c r="BU4" s="183">
        <v>39813</v>
      </c>
      <c r="BV4" s="183">
        <v>39844</v>
      </c>
      <c r="BW4" s="183">
        <v>39872</v>
      </c>
    </row>
    <row r="5" spans="1:75" ht="19.5" customHeight="1">
      <c r="A5" s="173"/>
      <c r="B5" s="64" t="s">
        <v>88</v>
      </c>
      <c r="C5" s="65"/>
      <c r="D5" s="65"/>
      <c r="E5" s="66"/>
      <c r="F5" s="67"/>
      <c r="G5" s="67"/>
      <c r="H5" s="67"/>
      <c r="I5" s="67"/>
      <c r="J5" s="67"/>
      <c r="K5" s="67"/>
      <c r="L5" s="67"/>
      <c r="M5" s="68"/>
      <c r="N5" s="67"/>
      <c r="O5" s="69"/>
      <c r="P5" s="70"/>
      <c r="Q5" s="67"/>
      <c r="R5" s="70"/>
      <c r="S5" s="7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</row>
    <row r="6" spans="1:75" ht="19.5" customHeight="1">
      <c r="A6" s="146"/>
      <c r="B6" s="64"/>
      <c r="C6" s="65"/>
      <c r="D6" s="65"/>
      <c r="E6" s="66"/>
      <c r="F6" s="67"/>
      <c r="G6" s="67"/>
      <c r="H6" s="67"/>
      <c r="I6" s="67"/>
      <c r="J6" s="67"/>
      <c r="K6" s="67"/>
      <c r="L6" s="67"/>
      <c r="M6" s="68"/>
      <c r="N6" s="67"/>
      <c r="O6" s="69"/>
      <c r="P6" s="70"/>
      <c r="Q6" s="67"/>
      <c r="R6" s="70"/>
      <c r="S6" s="70"/>
      <c r="T6" s="71"/>
      <c r="U6" s="70"/>
      <c r="V6" s="70"/>
      <c r="W6" s="70"/>
      <c r="X6" s="70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</row>
    <row r="7" spans="2:75" ht="19.5" customHeight="1">
      <c r="B7" s="64" t="s">
        <v>119</v>
      </c>
      <c r="C7" s="72">
        <v>2595.44027685</v>
      </c>
      <c r="D7" s="72">
        <v>2187.8368766900003</v>
      </c>
      <c r="E7" s="72">
        <v>2272.4872471500003</v>
      </c>
      <c r="F7" s="73">
        <v>2113.36340838</v>
      </c>
      <c r="G7" s="73">
        <v>2165.8</v>
      </c>
      <c r="H7" s="74">
        <v>2129.6</v>
      </c>
      <c r="I7" s="67">
        <v>1891</v>
      </c>
      <c r="J7" s="73">
        <v>2181.2</v>
      </c>
      <c r="K7" s="73">
        <v>2467.9</v>
      </c>
      <c r="L7" s="73">
        <v>2091</v>
      </c>
      <c r="M7" s="75">
        <v>2110.3</v>
      </c>
      <c r="N7" s="73">
        <v>2710.8702829799995</v>
      </c>
      <c r="O7" s="76">
        <v>1935.4129830699999</v>
      </c>
      <c r="P7" s="77">
        <v>1824.1042653499997</v>
      </c>
      <c r="Q7" s="67">
        <v>2395.6</v>
      </c>
      <c r="R7" s="67">
        <v>1860.4</v>
      </c>
      <c r="S7" s="67">
        <v>1783.2</v>
      </c>
      <c r="T7" s="67">
        <v>1984.6</v>
      </c>
      <c r="U7" s="67">
        <v>1989.9</v>
      </c>
      <c r="V7" s="67">
        <v>1808.2</v>
      </c>
      <c r="W7" s="67">
        <v>2207.6</v>
      </c>
      <c r="X7" s="67">
        <v>1987.9</v>
      </c>
      <c r="Y7" s="67">
        <v>1977.3</v>
      </c>
      <c r="Z7" s="67">
        <v>2327.5</v>
      </c>
      <c r="AA7" s="67">
        <v>2029.5</v>
      </c>
      <c r="AB7" s="67">
        <v>1912.6</v>
      </c>
      <c r="AC7" s="67">
        <v>2303.8</v>
      </c>
      <c r="AD7" s="67">
        <v>2107.1</v>
      </c>
      <c r="AE7" s="67">
        <v>1874.1</v>
      </c>
      <c r="AF7" s="67">
        <v>2354.7</v>
      </c>
      <c r="AG7" s="67">
        <v>2159.1</v>
      </c>
      <c r="AH7" s="67">
        <v>1818.2</v>
      </c>
      <c r="AI7" s="73">
        <v>2245</v>
      </c>
      <c r="AJ7" s="73">
        <v>1902.22246</v>
      </c>
      <c r="AK7" s="73">
        <v>1983.9</v>
      </c>
      <c r="AL7" s="73">
        <v>2705.5</v>
      </c>
      <c r="AM7" s="73">
        <v>2696</v>
      </c>
      <c r="AN7" s="73">
        <v>2458.1</v>
      </c>
      <c r="AO7" s="73">
        <v>3129.7</v>
      </c>
      <c r="AP7" s="73">
        <v>2973</v>
      </c>
      <c r="AQ7" s="73">
        <v>2677.9</v>
      </c>
      <c r="AR7" s="73">
        <v>3313.1</v>
      </c>
      <c r="AS7" s="73">
        <v>2760.7</v>
      </c>
      <c r="AT7" s="73">
        <v>3119.2</v>
      </c>
      <c r="AU7" s="73">
        <v>4104.4</v>
      </c>
      <c r="AV7" s="73">
        <v>3495.2</v>
      </c>
      <c r="AW7" s="73">
        <v>3164.3</v>
      </c>
      <c r="AX7" s="73">
        <v>4865.6</v>
      </c>
      <c r="AY7" s="73">
        <v>4466.4</v>
      </c>
      <c r="AZ7" s="73">
        <v>5690</v>
      </c>
      <c r="BA7" s="73">
        <v>6260.1</v>
      </c>
      <c r="BB7" s="256">
        <v>5643.8</v>
      </c>
      <c r="BC7" s="262">
        <v>6085.3</v>
      </c>
      <c r="BD7" s="262">
        <v>7455.9</v>
      </c>
      <c r="BE7" s="262">
        <v>6359</v>
      </c>
      <c r="BF7" s="262">
        <v>5868.650081049999</v>
      </c>
      <c r="BG7" s="262">
        <v>6499.853570999999</v>
      </c>
      <c r="BH7" s="262">
        <v>6257.02633294</v>
      </c>
      <c r="BI7" s="262">
        <v>6743.949222620002</v>
      </c>
      <c r="BJ7" s="262">
        <v>8497.90853458</v>
      </c>
      <c r="BK7" s="262">
        <v>8656.654479950002</v>
      </c>
      <c r="BL7" s="262">
        <v>8900.78</v>
      </c>
      <c r="BM7" s="262">
        <v>9949.63092274</v>
      </c>
      <c r="BN7" s="262">
        <v>9441.90025126</v>
      </c>
      <c r="BO7" s="262">
        <v>9697.814715469998</v>
      </c>
      <c r="BP7" s="262">
        <v>11758.2039831</v>
      </c>
      <c r="BQ7" s="262">
        <v>10730.849802119998</v>
      </c>
      <c r="BR7" s="262">
        <v>10942.098551590001</v>
      </c>
      <c r="BS7" s="262">
        <v>13805.317071959998</v>
      </c>
      <c r="BT7" s="262">
        <v>12725.77199603</v>
      </c>
      <c r="BU7" s="268">
        <v>12857.52677013</v>
      </c>
      <c r="BV7" s="268">
        <v>14524</v>
      </c>
      <c r="BW7" s="268">
        <v>13779</v>
      </c>
    </row>
    <row r="8" spans="2:75" ht="19.5" customHeight="1">
      <c r="B8" s="64" t="s">
        <v>30</v>
      </c>
      <c r="C8" s="78"/>
      <c r="D8" s="78">
        <f>D7-C7</f>
        <v>-407.60340015999964</v>
      </c>
      <c r="E8" s="78">
        <f>E7-D7</f>
        <v>84.65037045999998</v>
      </c>
      <c r="F8" s="78">
        <f>F7-E7</f>
        <v>-159.12383877000048</v>
      </c>
      <c r="G8" s="78">
        <f aca="true" t="shared" si="0" ref="G8:AG8">G7-F7</f>
        <v>52.4365916200004</v>
      </c>
      <c r="H8" s="78">
        <f t="shared" si="0"/>
        <v>-36.20000000000027</v>
      </c>
      <c r="I8" s="78">
        <f t="shared" si="0"/>
        <v>-238.5999999999999</v>
      </c>
      <c r="J8" s="78">
        <f t="shared" si="0"/>
        <v>290.1999999999998</v>
      </c>
      <c r="K8" s="78">
        <f t="shared" si="0"/>
        <v>286.7000000000003</v>
      </c>
      <c r="L8" s="78">
        <f t="shared" si="0"/>
        <v>-376.9000000000001</v>
      </c>
      <c r="M8" s="78">
        <f t="shared" si="0"/>
        <v>19.300000000000182</v>
      </c>
      <c r="N8" s="78">
        <f t="shared" si="0"/>
        <v>600.5702829799993</v>
      </c>
      <c r="O8" s="79">
        <f t="shared" si="0"/>
        <v>-775.4572999099996</v>
      </c>
      <c r="P8" s="74">
        <f t="shared" si="0"/>
        <v>-111.30871772000023</v>
      </c>
      <c r="Q8" s="74">
        <f t="shared" si="0"/>
        <v>571.4957346500003</v>
      </c>
      <c r="R8" s="74">
        <f t="shared" si="0"/>
        <v>-535.1999999999998</v>
      </c>
      <c r="S8" s="74">
        <f t="shared" si="0"/>
        <v>-77.20000000000005</v>
      </c>
      <c r="T8" s="74">
        <f t="shared" si="0"/>
        <v>201.39999999999986</v>
      </c>
      <c r="U8" s="74">
        <f t="shared" si="0"/>
        <v>5.300000000000182</v>
      </c>
      <c r="V8" s="74">
        <f t="shared" si="0"/>
        <v>-181.70000000000005</v>
      </c>
      <c r="W8" s="74">
        <f t="shared" si="0"/>
        <v>399.39999999999986</v>
      </c>
      <c r="X8" s="74">
        <f t="shared" si="0"/>
        <v>-219.69999999999982</v>
      </c>
      <c r="Y8" s="74">
        <f t="shared" si="0"/>
        <v>-10.600000000000136</v>
      </c>
      <c r="Z8" s="74">
        <f t="shared" si="0"/>
        <v>350.20000000000005</v>
      </c>
      <c r="AA8" s="74">
        <f t="shared" si="0"/>
        <v>-298</v>
      </c>
      <c r="AB8" s="74">
        <f t="shared" si="0"/>
        <v>-116.90000000000009</v>
      </c>
      <c r="AC8" s="74">
        <f t="shared" si="0"/>
        <v>391.2000000000003</v>
      </c>
      <c r="AD8" s="74">
        <f t="shared" si="0"/>
        <v>-196.70000000000027</v>
      </c>
      <c r="AE8" s="74">
        <f t="shared" si="0"/>
        <v>-233</v>
      </c>
      <c r="AF8" s="74">
        <f t="shared" si="0"/>
        <v>480.5999999999999</v>
      </c>
      <c r="AG8" s="74">
        <f t="shared" si="0"/>
        <v>-195.5999999999999</v>
      </c>
      <c r="AH8" s="74">
        <f aca="true" t="shared" si="1" ref="AH8:BW8">AH7-AG7</f>
        <v>-340.89999999999986</v>
      </c>
      <c r="AI8" s="74">
        <f t="shared" si="1"/>
        <v>426.79999999999995</v>
      </c>
      <c r="AJ8" s="74">
        <f t="shared" si="1"/>
        <v>-342.77754000000004</v>
      </c>
      <c r="AK8" s="74">
        <f t="shared" si="1"/>
        <v>81.67754000000014</v>
      </c>
      <c r="AL8" s="74">
        <f t="shared" si="1"/>
        <v>721.5999999999999</v>
      </c>
      <c r="AM8" s="74">
        <f t="shared" si="1"/>
        <v>-9.5</v>
      </c>
      <c r="AN8" s="74">
        <f t="shared" si="1"/>
        <v>-237.9000000000001</v>
      </c>
      <c r="AO8" s="74">
        <f t="shared" si="1"/>
        <v>671.5999999999999</v>
      </c>
      <c r="AP8" s="74">
        <f t="shared" si="1"/>
        <v>-156.69999999999982</v>
      </c>
      <c r="AQ8" s="74">
        <f t="shared" si="1"/>
        <v>-295.0999999999999</v>
      </c>
      <c r="AR8" s="74">
        <f t="shared" si="1"/>
        <v>635.1999999999998</v>
      </c>
      <c r="AS8" s="74">
        <f t="shared" si="1"/>
        <v>-552.4000000000001</v>
      </c>
      <c r="AT8" s="74">
        <f t="shared" si="1"/>
        <v>358.5</v>
      </c>
      <c r="AU8" s="74">
        <f t="shared" si="1"/>
        <v>985.1999999999998</v>
      </c>
      <c r="AV8" s="74">
        <f t="shared" si="1"/>
        <v>-609.1999999999998</v>
      </c>
      <c r="AW8" s="74">
        <f t="shared" si="1"/>
        <v>-330.89999999999964</v>
      </c>
      <c r="AX8" s="74">
        <f t="shared" si="1"/>
        <v>1701.3000000000002</v>
      </c>
      <c r="AY8" s="74">
        <f t="shared" si="1"/>
        <v>-399.2000000000007</v>
      </c>
      <c r="AZ8" s="74">
        <f t="shared" si="1"/>
        <v>1223.6000000000004</v>
      </c>
      <c r="BA8" s="74">
        <f t="shared" si="1"/>
        <v>570.1000000000004</v>
      </c>
      <c r="BB8" s="257">
        <f t="shared" si="1"/>
        <v>-616.3000000000002</v>
      </c>
      <c r="BC8" s="263">
        <f t="shared" si="1"/>
        <v>441.5</v>
      </c>
      <c r="BD8" s="263">
        <f t="shared" si="1"/>
        <v>1370.5999999999995</v>
      </c>
      <c r="BE8" s="263">
        <f t="shared" si="1"/>
        <v>-1096.8999999999996</v>
      </c>
      <c r="BF8" s="263">
        <f t="shared" si="1"/>
        <v>-490.34991895000076</v>
      </c>
      <c r="BG8" s="263">
        <f t="shared" si="1"/>
        <v>631.2034899499995</v>
      </c>
      <c r="BH8" s="263">
        <f t="shared" si="1"/>
        <v>-242.8272380599983</v>
      </c>
      <c r="BI8" s="263">
        <f t="shared" si="1"/>
        <v>486.9228896800014</v>
      </c>
      <c r="BJ8" s="263">
        <f t="shared" si="1"/>
        <v>1753.9593119599976</v>
      </c>
      <c r="BK8" s="263">
        <f t="shared" si="1"/>
        <v>158.74594537000303</v>
      </c>
      <c r="BL8" s="263">
        <f t="shared" si="1"/>
        <v>244.12552004999816</v>
      </c>
      <c r="BM8" s="263">
        <f t="shared" si="1"/>
        <v>1048.850922739999</v>
      </c>
      <c r="BN8" s="263">
        <f t="shared" si="1"/>
        <v>-507.7306714799997</v>
      </c>
      <c r="BO8" s="263">
        <f t="shared" si="1"/>
        <v>255.9144642099982</v>
      </c>
      <c r="BP8" s="263">
        <f t="shared" si="1"/>
        <v>2060.389267630002</v>
      </c>
      <c r="BQ8" s="263">
        <f t="shared" si="1"/>
        <v>-1027.3541809800026</v>
      </c>
      <c r="BR8" s="263">
        <f t="shared" si="1"/>
        <v>211.24874947000353</v>
      </c>
      <c r="BS8" s="263">
        <f t="shared" si="1"/>
        <v>2863.2185203699973</v>
      </c>
      <c r="BT8" s="263">
        <f t="shared" si="1"/>
        <v>-1079.5450759299983</v>
      </c>
      <c r="BU8" s="268">
        <f t="shared" si="1"/>
        <v>131.75477409999985</v>
      </c>
      <c r="BV8" s="268">
        <f t="shared" si="1"/>
        <v>1666.47322987</v>
      </c>
      <c r="BW8" s="273">
        <f t="shared" si="1"/>
        <v>-745</v>
      </c>
    </row>
    <row r="9" spans="2:75" ht="19.5" customHeight="1">
      <c r="B9" s="64"/>
      <c r="C9" s="65"/>
      <c r="D9" s="65"/>
      <c r="E9" s="65"/>
      <c r="F9" s="67"/>
      <c r="G9" s="67"/>
      <c r="H9" s="67"/>
      <c r="I9" s="67"/>
      <c r="J9" s="67"/>
      <c r="K9" s="67"/>
      <c r="L9" s="67"/>
      <c r="M9" s="68"/>
      <c r="N9" s="67"/>
      <c r="O9" s="69"/>
      <c r="P9" s="70"/>
      <c r="Q9" s="67"/>
      <c r="R9" s="70"/>
      <c r="S9" s="70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69"/>
      <c r="BV9" s="269"/>
      <c r="BW9" s="268"/>
    </row>
    <row r="10" spans="2:75" ht="19.5" customHeight="1">
      <c r="B10" s="64" t="s">
        <v>44</v>
      </c>
      <c r="C10" s="65"/>
      <c r="D10" s="65"/>
      <c r="E10" s="65"/>
      <c r="F10" s="67"/>
      <c r="G10" s="67"/>
      <c r="H10" s="67"/>
      <c r="I10" s="67"/>
      <c r="J10" s="67"/>
      <c r="K10" s="67"/>
      <c r="L10" s="67"/>
      <c r="M10" s="68"/>
      <c r="N10" s="67"/>
      <c r="O10" s="69"/>
      <c r="P10" s="70"/>
      <c r="Q10" s="67"/>
      <c r="R10" s="70"/>
      <c r="S10" s="70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69"/>
      <c r="BV10" s="269"/>
      <c r="BW10" s="268"/>
    </row>
    <row r="11" spans="2:75" ht="19.5" customHeight="1">
      <c r="B11" s="64"/>
      <c r="C11" s="65"/>
      <c r="D11" s="65"/>
      <c r="E11" s="65"/>
      <c r="F11" s="67"/>
      <c r="G11" s="67"/>
      <c r="H11" s="67"/>
      <c r="I11" s="67"/>
      <c r="J11" s="67"/>
      <c r="K11" s="67"/>
      <c r="L11" s="67"/>
      <c r="M11" s="68"/>
      <c r="N11" s="67"/>
      <c r="O11" s="69"/>
      <c r="P11" s="70"/>
      <c r="Q11" s="67"/>
      <c r="R11" s="70"/>
      <c r="S11" s="7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69"/>
      <c r="BV11" s="269"/>
      <c r="BW11" s="268"/>
    </row>
    <row r="12" spans="2:75" ht="19.5" customHeight="1">
      <c r="B12" s="64" t="s">
        <v>31</v>
      </c>
      <c r="C12" s="65"/>
      <c r="D12" s="65">
        <v>8.0439</v>
      </c>
      <c r="E12" s="65">
        <v>7.7068</v>
      </c>
      <c r="F12" s="80">
        <v>7.6652</v>
      </c>
      <c r="G12" s="80">
        <v>7.9027</v>
      </c>
      <c r="H12" s="80">
        <v>7.5401</v>
      </c>
      <c r="I12" s="67">
        <v>7.3922</v>
      </c>
      <c r="J12" s="67">
        <v>7.3246</v>
      </c>
      <c r="K12" s="67">
        <v>6.9637</v>
      </c>
      <c r="L12" s="67">
        <v>6.7287</v>
      </c>
      <c r="M12" s="68">
        <v>6.5159</v>
      </c>
      <c r="N12" s="67">
        <v>6.9179</v>
      </c>
      <c r="O12" s="68">
        <v>6.7686</v>
      </c>
      <c r="P12" s="67">
        <v>6.6633</v>
      </c>
      <c r="Q12" s="67">
        <v>6.5537</v>
      </c>
      <c r="R12" s="67">
        <v>6.7821</v>
      </c>
      <c r="S12" s="67">
        <v>6.4381</v>
      </c>
      <c r="T12" s="81">
        <v>6.1287</v>
      </c>
      <c r="U12" s="67">
        <v>6.4575</v>
      </c>
      <c r="V12" s="67">
        <v>6.5469</v>
      </c>
      <c r="W12" s="67">
        <v>6.3876</v>
      </c>
      <c r="X12" s="67">
        <v>6.0558</v>
      </c>
      <c r="Y12" s="67">
        <v>5.7323</v>
      </c>
      <c r="Z12" s="67">
        <v>5.9698</v>
      </c>
      <c r="AA12" s="67">
        <v>6.0161</v>
      </c>
      <c r="AB12" s="67">
        <v>6.323</v>
      </c>
      <c r="AC12" s="67">
        <v>6.1521</v>
      </c>
      <c r="AD12" s="67">
        <v>6.3314</v>
      </c>
      <c r="AE12" s="81">
        <v>6.75</v>
      </c>
      <c r="AF12" s="81">
        <v>6.7035</v>
      </c>
      <c r="AG12" s="81">
        <v>6.465</v>
      </c>
      <c r="AH12" s="81">
        <v>6.3578</v>
      </c>
      <c r="AI12" s="81">
        <v>6.5766</v>
      </c>
      <c r="AJ12" s="81">
        <v>6.521</v>
      </c>
      <c r="AK12" s="81">
        <v>6.3591</v>
      </c>
      <c r="AL12" s="81">
        <v>6.0891</v>
      </c>
      <c r="AM12" s="81">
        <v>6.1177</v>
      </c>
      <c r="AN12" s="81">
        <v>6.2544</v>
      </c>
      <c r="AO12" s="81">
        <v>6.072</v>
      </c>
      <c r="AP12" s="81">
        <v>6.3199</v>
      </c>
      <c r="AQ12" s="81">
        <v>6.9549</v>
      </c>
      <c r="AR12" s="81">
        <v>7.0843</v>
      </c>
      <c r="AS12" s="81">
        <v>6.9553</v>
      </c>
      <c r="AT12" s="81">
        <v>7.4098</v>
      </c>
      <c r="AU12" s="81">
        <v>7.6492</v>
      </c>
      <c r="AV12" s="81">
        <v>7.2586</v>
      </c>
      <c r="AW12" s="81">
        <v>7.0406</v>
      </c>
      <c r="AX12" s="81">
        <v>7.1838</v>
      </c>
      <c r="AY12" s="81">
        <v>7.1698</v>
      </c>
      <c r="AZ12" s="81">
        <v>7.3514</v>
      </c>
      <c r="BA12" s="81">
        <v>7.1216</v>
      </c>
      <c r="BB12" s="259">
        <v>7.0187</v>
      </c>
      <c r="BC12" s="259">
        <v>7.1718</v>
      </c>
      <c r="BD12" s="259">
        <v>6.973</v>
      </c>
      <c r="BE12" s="259">
        <v>7.2334</v>
      </c>
      <c r="BF12" s="259">
        <v>7.1282</v>
      </c>
      <c r="BG12" s="259">
        <v>6.7729</v>
      </c>
      <c r="BH12" s="259">
        <v>6.701</v>
      </c>
      <c r="BI12" s="259">
        <v>6.8271</v>
      </c>
      <c r="BJ12" s="259">
        <v>6.9874</v>
      </c>
      <c r="BK12" s="259">
        <v>7.6386</v>
      </c>
      <c r="BL12" s="259">
        <v>7.9799</v>
      </c>
      <c r="BM12" s="259">
        <v>7.7933</v>
      </c>
      <c r="BN12" s="259">
        <v>7.6238</v>
      </c>
      <c r="BO12" s="259">
        <v>7.9188</v>
      </c>
      <c r="BP12" s="259">
        <v>7.6393</v>
      </c>
      <c r="BQ12" s="259">
        <v>7.6578</v>
      </c>
      <c r="BR12" s="259">
        <v>8.0472</v>
      </c>
      <c r="BS12" s="259">
        <v>9.6715</v>
      </c>
      <c r="BT12" s="259">
        <v>10.1177</v>
      </c>
      <c r="BU12" s="270">
        <v>9.9456</v>
      </c>
      <c r="BV12" s="270">
        <v>9.897</v>
      </c>
      <c r="BW12" s="274">
        <v>10.0062</v>
      </c>
    </row>
    <row r="13" spans="2:75" ht="19.5" customHeight="1">
      <c r="B13" s="64" t="s">
        <v>32</v>
      </c>
      <c r="C13" s="82"/>
      <c r="D13" s="82">
        <f>1/8.0439</f>
        <v>0.124317806039359</v>
      </c>
      <c r="E13" s="82">
        <f>1/7.7068</f>
        <v>0.12975554056158198</v>
      </c>
      <c r="F13" s="83">
        <f>1/7.6652</f>
        <v>0.13045974012419767</v>
      </c>
      <c r="G13" s="83">
        <f>1/7.9027</f>
        <v>0.12653903096410088</v>
      </c>
      <c r="H13" s="83">
        <f>1/7.5401</f>
        <v>0.1326242357528415</v>
      </c>
      <c r="I13" s="83">
        <f>1/7.3922</f>
        <v>0.13527772516977354</v>
      </c>
      <c r="J13" s="83">
        <f>1/7.3246</f>
        <v>0.1365262266881468</v>
      </c>
      <c r="K13" s="83">
        <f>1/6.9637</f>
        <v>0.14360182087108864</v>
      </c>
      <c r="L13" s="83">
        <f>1/6.7287</f>
        <v>0.14861711771961894</v>
      </c>
      <c r="M13" s="83">
        <f>1/6.5159</f>
        <v>0.15347074080326586</v>
      </c>
      <c r="N13" s="83">
        <f>1/6.9179</f>
        <v>0.14455253761979792</v>
      </c>
      <c r="O13" s="84">
        <f>1/6.7686</f>
        <v>0.14774103950595396</v>
      </c>
      <c r="P13" s="83">
        <f>1/6.6633</f>
        <v>0.1500757882730779</v>
      </c>
      <c r="Q13" s="83">
        <f>1/6.5537</f>
        <v>0.15258556235409004</v>
      </c>
      <c r="R13" s="83">
        <f>1/6.7821</f>
        <v>0.14744695595759427</v>
      </c>
      <c r="S13" s="83">
        <f>1/6.4381</f>
        <v>0.15532532890138395</v>
      </c>
      <c r="T13" s="83">
        <f>1/6.1287</f>
        <v>0.1631667400916997</v>
      </c>
      <c r="U13" s="83">
        <f>1/6.4575</f>
        <v>0.1548586914440573</v>
      </c>
      <c r="V13" s="83">
        <f>1/6.5469</f>
        <v>0.15274404680077594</v>
      </c>
      <c r="W13" s="83">
        <f>1/6.3876</f>
        <v>0.15655332206149414</v>
      </c>
      <c r="X13" s="83">
        <f>1/6.0558</f>
        <v>0.16513094884243207</v>
      </c>
      <c r="Y13" s="83">
        <f>1/5.7323</f>
        <v>0.17445004622926225</v>
      </c>
      <c r="Z13" s="83">
        <f>1/5.9698</f>
        <v>0.1675097993232604</v>
      </c>
      <c r="AA13" s="83">
        <f>1/6.0161</f>
        <v>0.16622064127923405</v>
      </c>
      <c r="AB13" s="83">
        <f>1/6.0101</f>
        <v>0.16638658258598024</v>
      </c>
      <c r="AC13" s="83">
        <f>1/6.1521</f>
        <v>0.16254612246224867</v>
      </c>
      <c r="AD13" s="83">
        <f>1/6.3314</f>
        <v>0.1579429510060966</v>
      </c>
      <c r="AE13" s="83">
        <f>1/6.75</f>
        <v>0.14814814814814814</v>
      </c>
      <c r="AF13" s="83">
        <f>1/6.7035</f>
        <v>0.14917580368464234</v>
      </c>
      <c r="AG13" s="83">
        <f>1/6.465</f>
        <v>0.15467904098994587</v>
      </c>
      <c r="AH13" s="83">
        <f>1/6.3578</f>
        <v>0.1572871118940514</v>
      </c>
      <c r="AI13" s="83">
        <f>1/6.5766</f>
        <v>0.15205425295745523</v>
      </c>
      <c r="AJ13" s="83">
        <f>1/6.521</f>
        <v>0.15335071308081583</v>
      </c>
      <c r="AK13" s="83">
        <f>1/6.3591</f>
        <v>0.157254957462534</v>
      </c>
      <c r="AL13" s="83">
        <f>1/6.0891</f>
        <v>0.1642278826099095</v>
      </c>
      <c r="AM13" s="83">
        <f>1/6.1177</f>
        <v>0.16346012390277392</v>
      </c>
      <c r="AN13" s="83">
        <f>1/6.2544</f>
        <v>0.15988743924277307</v>
      </c>
      <c r="AO13" s="83">
        <f>1/6.072</f>
        <v>0.16469038208168643</v>
      </c>
      <c r="AP13" s="83">
        <f>1/6.3199</f>
        <v>0.15823035174607195</v>
      </c>
      <c r="AQ13" s="83">
        <f>1/6.9549</f>
        <v>0.14378351953299112</v>
      </c>
      <c r="AR13" s="83">
        <f>1/7.0843</f>
        <v>0.14115720678119223</v>
      </c>
      <c r="AS13" s="83">
        <f>1/6.9553</f>
        <v>0.14377525052837403</v>
      </c>
      <c r="AT13" s="83">
        <f>1/7.4098</f>
        <v>0.1349564090798672</v>
      </c>
      <c r="AU13" s="83">
        <f>1/7.6492</f>
        <v>0.13073262563405322</v>
      </c>
      <c r="AV13" s="83">
        <f>1/7.2586</f>
        <v>0.1377676135893974</v>
      </c>
      <c r="AW13" s="83">
        <f>1/7.0406</f>
        <v>0.14203334943044627</v>
      </c>
      <c r="AX13" s="83">
        <f>1/7.1838</f>
        <v>0.13920209359948774</v>
      </c>
      <c r="AY13" s="83">
        <f>1/7.1698</f>
        <v>0.13947390443248067</v>
      </c>
      <c r="AZ13" s="83">
        <f>1/7.3514</f>
        <v>0.13602851157602633</v>
      </c>
      <c r="BA13" s="83">
        <f>1/7.1216</f>
        <v>0.14041788362165805</v>
      </c>
      <c r="BB13" s="260">
        <f>1/7.0187</f>
        <v>0.14247652699217803</v>
      </c>
      <c r="BC13" s="260">
        <f>1/7.1718</f>
        <v>0.13943500934214562</v>
      </c>
      <c r="BD13" s="260">
        <f>1/6.973</f>
        <v>0.1434102968593145</v>
      </c>
      <c r="BE13" s="260">
        <f>1/7.2334</f>
        <v>0.1382475737550806</v>
      </c>
      <c r="BF13" s="260">
        <f>1/7.1282</f>
        <v>0.14028787071069837</v>
      </c>
      <c r="BG13" s="260">
        <f>1/6.7729</f>
        <v>0.14764724121129796</v>
      </c>
      <c r="BH13" s="260">
        <f>1/6.701</f>
        <v>0.14923145799134457</v>
      </c>
      <c r="BI13" s="260">
        <f>1/6.8271</f>
        <v>0.14647507726560327</v>
      </c>
      <c r="BJ13" s="260">
        <f>1/6.9871</f>
        <v>0.1431208942193471</v>
      </c>
      <c r="BK13" s="260">
        <f>1/7.6386</f>
        <v>0.13091404184012775</v>
      </c>
      <c r="BL13" s="260">
        <f>1/7.9799</f>
        <v>0.1253148535695936</v>
      </c>
      <c r="BM13" s="260">
        <f>1/7.7933</f>
        <v>0.1283153477987502</v>
      </c>
      <c r="BN13" s="260">
        <f>1/7.6238</f>
        <v>0.13116818384532647</v>
      </c>
      <c r="BO13" s="260">
        <f>1/7.9188</f>
        <v>0.12628175986260545</v>
      </c>
      <c r="BP13" s="260">
        <f>1/7.6393</f>
        <v>0.13090204599897895</v>
      </c>
      <c r="BQ13" s="260">
        <f>1/7.6578</f>
        <v>0.1305858079343937</v>
      </c>
      <c r="BR13" s="260">
        <f>1/8.0472</f>
        <v>0.12426682572820359</v>
      </c>
      <c r="BS13" s="260">
        <f>1/9.6715</f>
        <v>0.10339657757328233</v>
      </c>
      <c r="BT13" s="260">
        <f>1/10.1177</f>
        <v>0.09883669213358769</v>
      </c>
      <c r="BU13" s="270">
        <f>1/9.9456</f>
        <v>0.10054697554697554</v>
      </c>
      <c r="BV13" s="270">
        <f>1/9.897</f>
        <v>0.1010407194099222</v>
      </c>
      <c r="BW13" s="274">
        <f>1/10.006</f>
        <v>0.09994003597841294</v>
      </c>
    </row>
    <row r="14" spans="2:75" ht="19.5" customHeight="1" hidden="1">
      <c r="B14" s="64" t="s">
        <v>33</v>
      </c>
      <c r="C14" s="65"/>
      <c r="D14" s="65"/>
      <c r="E14" s="65"/>
      <c r="F14" s="80"/>
      <c r="G14" s="80"/>
      <c r="H14" s="80"/>
      <c r="I14" s="67"/>
      <c r="J14" s="67"/>
      <c r="K14" s="67"/>
      <c r="L14" s="67"/>
      <c r="M14" s="68"/>
      <c r="N14" s="67"/>
      <c r="O14" s="69"/>
      <c r="P14" s="70"/>
      <c r="Q14" s="67"/>
      <c r="R14" s="70"/>
      <c r="S14" s="70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70"/>
      <c r="BV14" s="270"/>
      <c r="BW14" s="274"/>
    </row>
    <row r="15" spans="2:75" ht="19.5" customHeight="1">
      <c r="B15" s="64" t="s">
        <v>34</v>
      </c>
      <c r="C15" s="82"/>
      <c r="D15" s="82">
        <f>1/12.7437</f>
        <v>0.07847014603294176</v>
      </c>
      <c r="E15" s="82">
        <f>1/12.124</f>
        <v>0.08248102936324644</v>
      </c>
      <c r="F15" s="83">
        <f>1/12.4393</f>
        <v>0.08039037566422548</v>
      </c>
      <c r="G15" s="83">
        <f>1/13.1219</f>
        <v>0.07620847590669035</v>
      </c>
      <c r="H15" s="83">
        <f>1/12.26</f>
        <v>0.08156606851549755</v>
      </c>
      <c r="I15" s="83">
        <f>1/11.7868</f>
        <v>0.08484066922319884</v>
      </c>
      <c r="J15" s="83">
        <f>1/11.702</f>
        <v>0.08545547769612032</v>
      </c>
      <c r="K15" s="83">
        <f>1/11.6744</f>
        <v>0.08565750702391557</v>
      </c>
      <c r="L15" s="83">
        <f>1/11.3692</f>
        <v>0.08795693628399535</v>
      </c>
      <c r="M15" s="83">
        <f>1/11.3073</f>
        <v>0.08843844242215207</v>
      </c>
      <c r="N15" s="83">
        <f>1/12.5935</f>
        <v>0.07940604279985707</v>
      </c>
      <c r="O15" s="84">
        <f>1/12.6411</f>
        <v>0.07910703973546607</v>
      </c>
      <c r="P15" s="83">
        <f>1/12.1204</f>
        <v>0.08250552787036732</v>
      </c>
      <c r="Q15" s="83">
        <f>1/11.8224</f>
        <v>0.08458519420760591</v>
      </c>
      <c r="R15" s="83">
        <f>1/12.1262</f>
        <v>0.08246606521416437</v>
      </c>
      <c r="S15" s="83">
        <f>1/11.7619</f>
        <v>0.08502027733614466</v>
      </c>
      <c r="T15" s="83">
        <f>1/11.2923</f>
        <v>0.08855591863482197</v>
      </c>
      <c r="U15" s="83">
        <f>1/11.7446</f>
        <v>0.08514551368288405</v>
      </c>
      <c r="V15" s="83">
        <f>1/11.736</f>
        <v>0.08520790729379686</v>
      </c>
      <c r="W15" s="83">
        <f>1/11.5461</f>
        <v>0.08660933128935312</v>
      </c>
      <c r="X15" s="83">
        <f>1/11.2483</f>
        <v>0.08890232301770044</v>
      </c>
      <c r="Y15" s="83">
        <f>1/11.601</f>
        <v>0.0861994655633135</v>
      </c>
      <c r="Z15" s="83">
        <f>1/11.2168</f>
        <v>0.08915198630625491</v>
      </c>
      <c r="AA15" s="83">
        <f>1/11.3535</f>
        <v>0.08807856608094419</v>
      </c>
      <c r="AB15" s="83">
        <f>1/11.8847</f>
        <v>0.08414179575420498</v>
      </c>
      <c r="AC15" s="83">
        <f>1/11.6567</f>
        <v>0.08578757281220242</v>
      </c>
      <c r="AD15" s="83">
        <f>1/11.7446</f>
        <v>0.08514551368288405</v>
      </c>
      <c r="AE15" s="83">
        <f>1/12.282</f>
        <v>0.08141996417521576</v>
      </c>
      <c r="AF15" s="83">
        <f>1/11.7407</f>
        <v>0.08517379713304998</v>
      </c>
      <c r="AG15" s="83">
        <f>1/11.5992</f>
        <v>0.0862128422649838</v>
      </c>
      <c r="AH15" s="83">
        <f>1/11.4978</f>
        <v>0.08697316008279846</v>
      </c>
      <c r="AI15" s="83">
        <f>1/11.5989</f>
        <v>0.08621507211890782</v>
      </c>
      <c r="AJ15" s="83">
        <f>1/11.2213</f>
        <v>0.08911623430440324</v>
      </c>
      <c r="AK15" s="83">
        <f>1/11.1059</f>
        <v>0.0900422298057789</v>
      </c>
      <c r="AL15" s="83">
        <f>1/10.7529</f>
        <v>0.09299816793609166</v>
      </c>
      <c r="AM15" s="83">
        <f>1/10.6948</f>
        <v>0.09350338482253057</v>
      </c>
      <c r="AN15" s="83">
        <f>1/10.907</f>
        <v>0.09168423947923351</v>
      </c>
      <c r="AO15" s="83">
        <f>1/10.7206</f>
        <v>0.09327836128574894</v>
      </c>
      <c r="AP15" s="83">
        <f>1/11.806</f>
        <v>0.08470269354565475</v>
      </c>
      <c r="AQ15" s="83">
        <f>1/12.8291</f>
        <v>0.07794779056987629</v>
      </c>
      <c r="AR15" s="83">
        <f>1/13.0643</f>
        <v>0.07654447616787735</v>
      </c>
      <c r="AS15" s="83">
        <f>1/13.1608</f>
        <v>0.07598322290438271</v>
      </c>
      <c r="AT15" s="83">
        <f>1/13.9706</f>
        <v>0.07157888709146351</v>
      </c>
      <c r="AU15" s="83">
        <f>1/14.3415</f>
        <v>0.069727713279643</v>
      </c>
      <c r="AV15" s="83">
        <f>1/13.8728</f>
        <v>0.07208350152817024</v>
      </c>
      <c r="AW15" s="83">
        <f>1/13.8362</f>
        <v>0.07227417932669375</v>
      </c>
      <c r="AX15" s="83">
        <f>1/14.0828</f>
        <v>0.07100860624307666</v>
      </c>
      <c r="AY15" s="83">
        <f>1/14.0398</f>
        <v>0.07122608584167865</v>
      </c>
      <c r="AZ15" s="83">
        <f>1/14.3044</f>
        <v>0.06990855960403793</v>
      </c>
      <c r="BA15" s="83">
        <f>1/14.1669</f>
        <v>0.07058707268350874</v>
      </c>
      <c r="BB15" s="260">
        <f>1/13.9229</f>
        <v>0.07182411710204052</v>
      </c>
      <c r="BC15" s="260">
        <f>1/14.2416</f>
        <v>0.07021682956971127</v>
      </c>
      <c r="BD15" s="260">
        <f>1/14.1833</f>
        <v>0.07050545359683572</v>
      </c>
      <c r="BE15" s="260">
        <f>1/14.525</f>
        <v>0.06884681583476764</v>
      </c>
      <c r="BF15" s="260">
        <f>1/14.3767</f>
        <v>0.06955699152100274</v>
      </c>
      <c r="BG15" s="260">
        <f>1/13.8408</f>
        <v>0.0722501589503497</v>
      </c>
      <c r="BH15" s="260">
        <f>1/13.8896</f>
        <v>0.07199631378873401</v>
      </c>
      <c r="BI15" s="260">
        <f>1/13.8016</f>
        <v>0.07245536749362393</v>
      </c>
      <c r="BJ15" s="260">
        <f>1/13.7527</f>
        <v>0.0727129945392541</v>
      </c>
      <c r="BK15" s="260">
        <f>1/15.0048</f>
        <v>0.06664534015781617</v>
      </c>
      <c r="BL15" s="260">
        <f>1/15.9805</f>
        <v>0.06257626482275273</v>
      </c>
      <c r="BM15" s="260">
        <f>1/15.4224</f>
        <v>0.06484075111526091</v>
      </c>
      <c r="BN15" s="260">
        <f>1/14.97</f>
        <v>0.0668002672010688</v>
      </c>
      <c r="BO15" s="260">
        <f>1/15.5595</f>
        <v>0.06426941739773129</v>
      </c>
      <c r="BP15" s="260">
        <f>1/15.1886</f>
        <v>0.0658388528238284</v>
      </c>
      <c r="BQ15" s="260">
        <f>1/14.4731</f>
        <v>0.06909369796380872</v>
      </c>
      <c r="BR15" s="260">
        <f>1/14.4452</f>
        <v>0.06922714811840612</v>
      </c>
      <c r="BS15" s="260">
        <f>1/16.3843</f>
        <v>0.06103403868337372</v>
      </c>
      <c r="BT15" s="260">
        <f>1/15.5129</f>
        <v>0.06446247961374083</v>
      </c>
      <c r="BU15" s="270">
        <f>1/14.8107</f>
        <v>0.06751875333373844</v>
      </c>
      <c r="BV15" s="270">
        <f>1/14.2861</f>
        <v>0.06999811005102863</v>
      </c>
      <c r="BW15" s="274">
        <f>1/14.4064</f>
        <v>0.06941359395824079</v>
      </c>
    </row>
    <row r="16" spans="2:75" ht="19.5" customHeight="1">
      <c r="B16" s="64" t="s">
        <v>35</v>
      </c>
      <c r="C16" s="82"/>
      <c r="D16" s="82">
        <f>1/0.0679</f>
        <v>14.727540500736376</v>
      </c>
      <c r="E16" s="82">
        <f>1/0.0642</f>
        <v>15.576323987538942</v>
      </c>
      <c r="F16" s="83">
        <f>1/0.0654</f>
        <v>15.290519877675841</v>
      </c>
      <c r="G16" s="83">
        <f>1/0.0668</f>
        <v>14.970059880239521</v>
      </c>
      <c r="H16" s="83">
        <f>1/0.0636</f>
        <v>15.723270440251572</v>
      </c>
      <c r="I16" s="83">
        <f>1/0.0622</f>
        <v>16.077170418006432</v>
      </c>
      <c r="J16" s="83">
        <f>1/0.0636</f>
        <v>15.723270440251572</v>
      </c>
      <c r="K16" s="83">
        <f>1/0.0636</f>
        <v>15.723270440251572</v>
      </c>
      <c r="L16" s="83">
        <f>1/0.0616</f>
        <v>16.233766233766232</v>
      </c>
      <c r="M16" s="83">
        <f>1/0.0604</f>
        <v>16.556291390728475</v>
      </c>
      <c r="N16" s="83">
        <f>1/0.065</f>
        <v>15.384615384615383</v>
      </c>
      <c r="O16" s="84">
        <f>1/0.0695</f>
        <v>14.388489208633093</v>
      </c>
      <c r="P16" s="83">
        <f>1/0.0611</f>
        <v>16.366612111292962</v>
      </c>
      <c r="Q16" s="83">
        <f>1/0.061</f>
        <v>16.39344262295082</v>
      </c>
      <c r="R16" s="83">
        <f>1/0.0606</f>
        <v>16.5016501650165</v>
      </c>
      <c r="S16" s="83">
        <f>1/0.0588</f>
        <v>17.006802721088437</v>
      </c>
      <c r="T16" s="83">
        <f>1/0.0561</f>
        <v>17.825311942959004</v>
      </c>
      <c r="U16" s="83">
        <f>1/0.0505</f>
        <v>19.801980198019802</v>
      </c>
      <c r="V16" s="83">
        <f>1/0.0595</f>
        <v>16.80672268907563</v>
      </c>
      <c r="W16" s="83">
        <f>1/0.0587</f>
        <v>17.035775127768314</v>
      </c>
      <c r="X16" s="83">
        <f>1/0.0578</f>
        <v>17.301038062283737</v>
      </c>
      <c r="Y16" s="83">
        <f>1/0.052</f>
        <v>19.23076923076923</v>
      </c>
      <c r="Z16" s="83">
        <f>1/0.0578</f>
        <v>17.301038062283737</v>
      </c>
      <c r="AA16" s="83">
        <f>1/0.0574</f>
        <v>17.421602787456447</v>
      </c>
      <c r="AB16" s="83">
        <f>1/0.0572</f>
        <v>17.482517482517483</v>
      </c>
      <c r="AC16" s="83">
        <f>1/0.0572</f>
        <v>17.482517482517483</v>
      </c>
      <c r="AD16" s="83">
        <f>1/0.0594</f>
        <v>16.835016835016834</v>
      </c>
      <c r="AE16" s="83">
        <f>1/0.0621</f>
        <v>16.10305958132045</v>
      </c>
      <c r="AF16" s="83">
        <f>1/0.0599</f>
        <v>16.69449081803005</v>
      </c>
      <c r="AG16" s="83">
        <f>1/0.0585</f>
        <v>17.094017094017094</v>
      </c>
      <c r="AH16" s="83">
        <f>1/0.0573</f>
        <v>17.452006980802793</v>
      </c>
      <c r="AI16" s="83">
        <f>1/0.0573</f>
        <v>17.452006980802793</v>
      </c>
      <c r="AJ16" s="83">
        <f>1/0.0545</f>
        <v>18.34862385321101</v>
      </c>
      <c r="AK16" s="83">
        <f>1/0.0536</f>
        <v>18.65671641791045</v>
      </c>
      <c r="AL16" s="83">
        <f>1/0.0528</f>
        <v>18.93939393939394</v>
      </c>
      <c r="AM16" s="83">
        <f>1/0.0519</f>
        <v>19.267822736030826</v>
      </c>
      <c r="AN16" s="83">
        <f>1/0.0533</f>
        <v>18.76172607879925</v>
      </c>
      <c r="AO16" s="83">
        <f>1/0.0518</f>
        <v>19.305019305019304</v>
      </c>
      <c r="AP16" s="83">
        <f>1/0.0566</f>
        <v>17.6678445229682</v>
      </c>
      <c r="AQ16" s="83">
        <f>1/0.0607</f>
        <v>16.474464579901156</v>
      </c>
      <c r="AR16" s="83">
        <f>1/0.0613</f>
        <v>16.31321370309951</v>
      </c>
      <c r="AS16" s="83">
        <f>1/0.06</f>
        <v>16.666666666666668</v>
      </c>
      <c r="AT16" s="83">
        <f>1/0.0633</f>
        <v>15.797788309636653</v>
      </c>
      <c r="AU16" s="83">
        <f>1/0.0645</f>
        <v>15.503875968992247</v>
      </c>
      <c r="AV16" s="83">
        <f>1/0.0619</f>
        <v>16.155088852988694</v>
      </c>
      <c r="AW16" s="83">
        <f>1/0.0601</f>
        <v>16.638935108153078</v>
      </c>
      <c r="AX16" s="83">
        <f>1/0.0597</f>
        <v>16.75041876046901</v>
      </c>
      <c r="AY16" s="83">
        <f>1/0.0595</f>
        <v>16.80672268907563</v>
      </c>
      <c r="AZ16" s="83">
        <f>1/0.0627</f>
        <v>15.948963317384369</v>
      </c>
      <c r="BA16" s="83">
        <f>1/0.06</f>
        <v>16.666666666666668</v>
      </c>
      <c r="BB16" s="260">
        <f>1/0.0581</f>
        <v>17.21170395869191</v>
      </c>
      <c r="BC16" s="260">
        <f>1/0.0585</f>
        <v>17.094017094017094</v>
      </c>
      <c r="BD16" s="260">
        <f>1/0.0574</f>
        <v>17.421602787456447</v>
      </c>
      <c r="BE16" s="260">
        <f>1/0.062</f>
        <v>16.129032258064516</v>
      </c>
      <c r="BF16" s="260">
        <f>1/0.062</f>
        <v>16.129032258064516</v>
      </c>
      <c r="BG16" s="260">
        <f>1/0.0585</f>
        <v>17.094017094017094</v>
      </c>
      <c r="BH16" s="260">
        <f>1/0.0603</f>
        <v>16.58374792703151</v>
      </c>
      <c r="BI16" s="260">
        <f>1/0.0609</f>
        <v>16.420361247947454</v>
      </c>
      <c r="BJ16" s="260">
        <f>1/0.0647</f>
        <v>15.45595054095827</v>
      </c>
      <c r="BK16" s="260">
        <f>1/0.0713</f>
        <v>14.025245441795231</v>
      </c>
      <c r="BL16" s="260">
        <f>1/0.0791</f>
        <v>12.642225031605562</v>
      </c>
      <c r="BM16" s="260">
        <f>1/0.0761</f>
        <v>13.140604467805518</v>
      </c>
      <c r="BN16" s="260">
        <f>1/0.0732</f>
        <v>13.66120218579235</v>
      </c>
      <c r="BO16" s="260">
        <f>1/0.0742</f>
        <v>13.477088948787062</v>
      </c>
      <c r="BP16" s="260">
        <f>1/0.0716</f>
        <v>13.966480446927374</v>
      </c>
      <c r="BQ16" s="260">
        <f>1/0.0701</f>
        <v>14.265335235378032</v>
      </c>
      <c r="BR16" s="260">
        <f>1/0.0754</f>
        <v>13.262599469496022</v>
      </c>
      <c r="BS16" s="260">
        <f>1/0.0964</f>
        <v>10.37344398340249</v>
      </c>
      <c r="BT16" s="260">
        <f>1/0.1044</f>
        <v>9.578544061302681</v>
      </c>
      <c r="BU16" s="270">
        <f>1/0.1091</f>
        <v>9.165902841429881</v>
      </c>
      <c r="BV16" s="270">
        <f>1/0.1095</f>
        <v>9.132420091324201</v>
      </c>
      <c r="BW16" s="274">
        <f>1/0.1083</f>
        <v>9.233610341643583</v>
      </c>
    </row>
    <row r="17" spans="2:75" ht="19.5" customHeight="1" hidden="1">
      <c r="B17" s="64" t="s">
        <v>36</v>
      </c>
      <c r="C17" s="85"/>
      <c r="D17" s="85"/>
      <c r="E17" s="85"/>
      <c r="F17" s="67"/>
      <c r="G17" s="67"/>
      <c r="H17" s="67"/>
      <c r="I17" s="67"/>
      <c r="J17" s="67"/>
      <c r="K17" s="67"/>
      <c r="L17" s="67"/>
      <c r="M17" s="67"/>
      <c r="N17" s="67"/>
      <c r="O17" s="69"/>
      <c r="P17" s="70"/>
      <c r="Q17" s="67"/>
      <c r="R17" s="70"/>
      <c r="S17" s="70"/>
      <c r="T17" s="70"/>
      <c r="U17" s="70"/>
      <c r="V17" s="70"/>
      <c r="W17" s="70"/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258"/>
      <c r="BV17" s="258"/>
      <c r="BW17" s="268"/>
    </row>
    <row r="18" spans="2:75" ht="19.5" customHeight="1">
      <c r="B18" s="58"/>
      <c r="C18" s="86"/>
      <c r="D18" s="86"/>
      <c r="E18" s="87"/>
      <c r="F18" s="59"/>
      <c r="G18" s="59"/>
      <c r="H18" s="59"/>
      <c r="I18" s="88"/>
      <c r="J18" s="88"/>
      <c r="K18" s="59"/>
      <c r="L18" s="59"/>
      <c r="M18" s="62"/>
      <c r="N18" s="88"/>
      <c r="O18" s="62"/>
      <c r="P18" s="60"/>
      <c r="Q18" s="59"/>
      <c r="R18" s="60"/>
      <c r="S18" s="60"/>
      <c r="T18" s="63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267"/>
      <c r="BV18" s="267"/>
      <c r="BW18" s="267"/>
    </row>
    <row r="19" spans="2:75" ht="19.5" customHeight="1">
      <c r="B19" s="133" t="s">
        <v>38</v>
      </c>
      <c r="C19" s="86"/>
      <c r="D19" s="86"/>
      <c r="E19" s="58"/>
      <c r="F19" s="59"/>
      <c r="G19" s="59"/>
      <c r="H19" s="59"/>
      <c r="I19" s="60"/>
      <c r="J19" s="60"/>
      <c r="K19" s="59"/>
      <c r="L19" s="59"/>
      <c r="M19" s="61"/>
      <c r="N19" s="60"/>
      <c r="O19" s="62"/>
      <c r="P19" s="60"/>
      <c r="Q19" s="59"/>
      <c r="R19" s="60"/>
      <c r="S19" s="60"/>
      <c r="T19" s="63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267"/>
      <c r="BV19" s="267"/>
      <c r="BW19" s="267"/>
    </row>
    <row r="20" spans="2:75" ht="19.5" customHeight="1" thickBot="1">
      <c r="B20" s="134" t="s">
        <v>37</v>
      </c>
      <c r="C20" s="89"/>
      <c r="D20" s="89"/>
      <c r="E20" s="90"/>
      <c r="F20" s="91"/>
      <c r="G20" s="91"/>
      <c r="H20" s="91"/>
      <c r="I20" s="92"/>
      <c r="J20" s="92"/>
      <c r="K20" s="91"/>
      <c r="L20" s="91"/>
      <c r="M20" s="93"/>
      <c r="N20" s="92"/>
      <c r="O20" s="94"/>
      <c r="P20" s="92"/>
      <c r="Q20" s="91"/>
      <c r="R20" s="92"/>
      <c r="S20" s="92"/>
      <c r="T20" s="95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</row>
    <row r="21" ht="19.5" customHeight="1">
      <c r="B21" s="261" t="s">
        <v>109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1">
      <selection activeCell="A4" sqref="A4:X104"/>
    </sheetView>
  </sheetViews>
  <sheetFormatPr defaultColWidth="9.140625" defaultRowHeight="12"/>
  <cols>
    <col min="11" max="11" width="8.7109375" style="0" customWidth="1"/>
  </cols>
  <sheetData>
    <row r="2" spans="1:15" ht="12.7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05" t="s">
        <v>169</v>
      </c>
      <c r="B4" s="305"/>
      <c r="C4" s="305"/>
      <c r="D4" s="305"/>
      <c r="E4" s="305"/>
      <c r="F4" s="305"/>
      <c r="G4" s="305"/>
      <c r="H4" s="305"/>
      <c r="I4" s="305"/>
      <c r="J4" s="305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0.25">
      <c r="A38" s="305" t="s">
        <v>170</v>
      </c>
      <c r="B38" s="305"/>
      <c r="C38" s="305"/>
      <c r="D38" s="305"/>
      <c r="E38" s="305"/>
      <c r="F38" s="305"/>
      <c r="G38" s="305"/>
      <c r="H38" s="305"/>
      <c r="I38" s="305"/>
      <c r="J38" s="305"/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21" ht="20.25">
      <c r="A55" s="15"/>
      <c r="B55" s="15"/>
      <c r="C55" s="217"/>
      <c r="H55" s="15"/>
      <c r="I55" s="15"/>
      <c r="J55" s="15"/>
      <c r="K55" s="15"/>
      <c r="L55" s="15"/>
      <c r="M55" s="15"/>
      <c r="N55" s="15"/>
      <c r="O55" s="15"/>
      <c r="U55" t="s">
        <v>133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7"/>
      <c r="E61" s="217"/>
      <c r="F61" s="217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tabSelected="1" zoomScalePageLayoutView="0" workbookViewId="0" topLeftCell="A65">
      <selection activeCell="F112" sqref="F11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133</v>
      </c>
    </row>
    <row r="2" spans="1:11" ht="11.25">
      <c r="A2" s="153"/>
      <c r="B2" s="288" t="s">
        <v>78</v>
      </c>
      <c r="C2" s="289"/>
      <c r="D2" s="289"/>
      <c r="E2" s="289"/>
      <c r="F2" s="289"/>
      <c r="G2" s="289"/>
      <c r="H2" s="289"/>
      <c r="I2" s="289"/>
      <c r="J2" s="289"/>
      <c r="K2" s="290"/>
    </row>
    <row r="3" spans="1:11" ht="11.25">
      <c r="A3" s="153"/>
      <c r="B3" s="294" t="s">
        <v>125</v>
      </c>
      <c r="C3" s="295"/>
      <c r="D3" s="295"/>
      <c r="E3" s="295"/>
      <c r="F3" s="295"/>
      <c r="G3" s="295"/>
      <c r="H3" s="295"/>
      <c r="I3" s="295"/>
      <c r="J3" s="295"/>
      <c r="K3" s="296"/>
    </row>
    <row r="4" spans="1:11" ht="11.25">
      <c r="A4" s="153"/>
      <c r="B4" s="155"/>
      <c r="C4" s="109"/>
      <c r="D4" s="43"/>
      <c r="E4" s="109"/>
      <c r="F4" s="284" t="s">
        <v>118</v>
      </c>
      <c r="G4" s="291"/>
      <c r="H4" s="176" t="s">
        <v>148</v>
      </c>
      <c r="I4" s="284" t="s">
        <v>149</v>
      </c>
      <c r="J4" s="285"/>
      <c r="K4" s="286"/>
    </row>
    <row r="5" spans="1:11" ht="11.25">
      <c r="A5" s="153"/>
      <c r="B5" s="156"/>
      <c r="C5" s="12">
        <v>39506</v>
      </c>
      <c r="D5" s="108">
        <v>39841</v>
      </c>
      <c r="E5" s="12">
        <v>39854</v>
      </c>
      <c r="F5" s="12" t="s">
        <v>121</v>
      </c>
      <c r="G5" s="99" t="s">
        <v>120</v>
      </c>
      <c r="H5" s="99" t="s">
        <v>150</v>
      </c>
      <c r="I5" s="12">
        <v>39783</v>
      </c>
      <c r="J5" s="12">
        <v>39814</v>
      </c>
      <c r="K5" s="225">
        <v>39845</v>
      </c>
    </row>
    <row r="6" spans="1:12" ht="11.25">
      <c r="A6" s="153"/>
      <c r="B6" s="157" t="s">
        <v>56</v>
      </c>
      <c r="C6" s="193">
        <v>9603.768399260001</v>
      </c>
      <c r="D6" s="193">
        <v>15552.702326090002</v>
      </c>
      <c r="E6" s="193">
        <v>15552.702327090003</v>
      </c>
      <c r="F6" s="193">
        <v>1.0000003385357559E-06</v>
      </c>
      <c r="G6" s="193">
        <v>5948.933927830001</v>
      </c>
      <c r="H6" s="194">
        <v>6.4297529623403975E-09</v>
      </c>
      <c r="I6" s="194">
        <v>63.84185834469043</v>
      </c>
      <c r="J6" s="194">
        <v>64.71107816461029</v>
      </c>
      <c r="K6" s="237">
        <v>61.94374625161081</v>
      </c>
      <c r="L6" s="55"/>
    </row>
    <row r="7" spans="1:12" ht="11.25">
      <c r="A7" s="153"/>
      <c r="B7" s="157" t="s">
        <v>130</v>
      </c>
      <c r="C7" s="193">
        <v>8704.018823090002</v>
      </c>
      <c r="D7" s="193">
        <v>15225.721074560002</v>
      </c>
      <c r="E7" s="193">
        <v>15225.721075560003</v>
      </c>
      <c r="F7" s="193">
        <v>1.0000003385357559E-06</v>
      </c>
      <c r="G7" s="193">
        <v>6521.7022524700005</v>
      </c>
      <c r="H7" s="194">
        <v>6.567835662027286E-09</v>
      </c>
      <c r="I7" s="194">
        <v>90.81976587093357</v>
      </c>
      <c r="J7" s="194">
        <v>77.44227180013465</v>
      </c>
      <c r="K7" s="237">
        <v>74.9274833272332</v>
      </c>
      <c r="L7" s="55"/>
    </row>
    <row r="8" spans="1:12" ht="11.25">
      <c r="A8" s="153"/>
      <c r="B8" s="158" t="s">
        <v>57</v>
      </c>
      <c r="C8" s="195">
        <v>8609.09055412</v>
      </c>
      <c r="D8" s="195">
        <v>9066.517972830003</v>
      </c>
      <c r="E8" s="195">
        <v>9066.517972830003</v>
      </c>
      <c r="F8" s="195">
        <v>0</v>
      </c>
      <c r="G8" s="195">
        <v>457.4274187100018</v>
      </c>
      <c r="H8" s="196">
        <v>0</v>
      </c>
      <c r="I8" s="196">
        <v>0.49802541368224595</v>
      </c>
      <c r="J8" s="196">
        <v>9.376350815258117</v>
      </c>
      <c r="K8" s="238">
        <v>5.313307088994357</v>
      </c>
      <c r="L8" s="55"/>
    </row>
    <row r="9" spans="1:12" ht="11.25">
      <c r="A9" s="153"/>
      <c r="B9" s="158" t="s">
        <v>58</v>
      </c>
      <c r="C9" s="195">
        <v>3E-08</v>
      </c>
      <c r="D9" s="195">
        <v>6016.34777891</v>
      </c>
      <c r="E9" s="195">
        <v>6016.34777891</v>
      </c>
      <c r="F9" s="195">
        <v>0</v>
      </c>
      <c r="G9" s="195">
        <v>6016.34777888</v>
      </c>
      <c r="H9" s="196">
        <v>0</v>
      </c>
      <c r="I9" s="196">
        <v>0</v>
      </c>
      <c r="J9" s="196">
        <v>0</v>
      </c>
      <c r="K9" s="238">
        <v>0</v>
      </c>
      <c r="L9" s="55"/>
    </row>
    <row r="10" spans="1:12" ht="11.25">
      <c r="A10" s="153"/>
      <c r="B10" s="158" t="s">
        <v>59</v>
      </c>
      <c r="C10" s="195">
        <v>94.92826894000001</v>
      </c>
      <c r="D10" s="195">
        <v>142.85532282</v>
      </c>
      <c r="E10" s="195">
        <v>142.85532382</v>
      </c>
      <c r="F10" s="195">
        <v>9.999999974752427E-07</v>
      </c>
      <c r="G10" s="195">
        <v>47.927054879999986</v>
      </c>
      <c r="H10" s="196">
        <v>7.000089165282688E-07</v>
      </c>
      <c r="I10" s="196">
        <v>-23.23118133188902</v>
      </c>
      <c r="J10" s="196">
        <v>-50.972210274415076</v>
      </c>
      <c r="K10" s="238">
        <v>50.48765285111496</v>
      </c>
      <c r="L10" s="55"/>
    </row>
    <row r="11" spans="1:12" ht="11.25">
      <c r="A11" s="153"/>
      <c r="B11" s="157" t="s">
        <v>60</v>
      </c>
      <c r="C11" s="193">
        <v>899.7495761699998</v>
      </c>
      <c r="D11" s="193">
        <v>326.98125153</v>
      </c>
      <c r="E11" s="193">
        <v>326.98125153</v>
      </c>
      <c r="F11" s="193">
        <v>0</v>
      </c>
      <c r="G11" s="193">
        <v>-572.7683246399998</v>
      </c>
      <c r="H11" s="194">
        <v>0</v>
      </c>
      <c r="I11" s="194">
        <v>-84.92432670291227</v>
      </c>
      <c r="J11" s="194">
        <v>-62.056247681637835</v>
      </c>
      <c r="K11" s="237">
        <v>-63.658637893237554</v>
      </c>
      <c r="L11" s="55"/>
    </row>
    <row r="12" spans="1:12" ht="11.25">
      <c r="A12" s="153"/>
      <c r="B12" s="158" t="s">
        <v>104</v>
      </c>
      <c r="C12" s="195">
        <v>878.1536104599999</v>
      </c>
      <c r="D12" s="195">
        <v>304.10900213</v>
      </c>
      <c r="E12" s="195">
        <v>304.10900213</v>
      </c>
      <c r="F12" s="195">
        <v>0</v>
      </c>
      <c r="G12" s="195">
        <v>-574.0446083299998</v>
      </c>
      <c r="H12" s="196">
        <v>0</v>
      </c>
      <c r="I12" s="196">
        <v>-86.63945869251374</v>
      </c>
      <c r="J12" s="196">
        <v>-64.00782666452989</v>
      </c>
      <c r="K12" s="238">
        <v>-65.36949817120268</v>
      </c>
      <c r="L12" s="55"/>
    </row>
    <row r="13" spans="1:12" ht="11.25">
      <c r="A13" s="153"/>
      <c r="B13" s="158" t="s">
        <v>79</v>
      </c>
      <c r="C13" s="195">
        <v>0</v>
      </c>
      <c r="D13" s="195">
        <v>0.03722773</v>
      </c>
      <c r="E13" s="195">
        <v>0.03722773</v>
      </c>
      <c r="F13" s="195">
        <v>0</v>
      </c>
      <c r="G13" s="195">
        <v>0.03722773</v>
      </c>
      <c r="H13" s="196">
        <v>0</v>
      </c>
      <c r="I13" s="196">
        <v>0</v>
      </c>
      <c r="J13" s="196">
        <v>0</v>
      </c>
      <c r="K13" s="238">
        <v>0</v>
      </c>
      <c r="L13" s="55"/>
    </row>
    <row r="14" spans="1:12" ht="11.25">
      <c r="A14" s="153"/>
      <c r="B14" s="158" t="s">
        <v>61</v>
      </c>
      <c r="C14" s="195">
        <v>21.595965709999998</v>
      </c>
      <c r="D14" s="195">
        <v>22.83502167</v>
      </c>
      <c r="E14" s="195">
        <v>22.83502167</v>
      </c>
      <c r="F14" s="195">
        <v>0</v>
      </c>
      <c r="G14" s="195">
        <v>1.2390559600000017</v>
      </c>
      <c r="H14" s="196">
        <v>0</v>
      </c>
      <c r="I14" s="196">
        <v>34.81971297497293</v>
      </c>
      <c r="J14" s="196">
        <v>35.74802618559401</v>
      </c>
      <c r="K14" s="238">
        <v>5.737441782593011</v>
      </c>
      <c r="L14" s="55"/>
    </row>
    <row r="15" spans="1:12" ht="11.25">
      <c r="A15" s="153"/>
      <c r="B15" s="159"/>
      <c r="C15" s="193"/>
      <c r="D15" s="193"/>
      <c r="E15" s="193"/>
      <c r="F15" s="193"/>
      <c r="G15" s="193"/>
      <c r="H15" s="194"/>
      <c r="I15" s="194"/>
      <c r="J15" s="194"/>
      <c r="K15" s="237"/>
      <c r="L15" s="55"/>
    </row>
    <row r="16" spans="1:12" ht="11.25">
      <c r="A16" s="153"/>
      <c r="B16" s="157" t="s">
        <v>62</v>
      </c>
      <c r="C16" s="193">
        <v>9603.767802209999</v>
      </c>
      <c r="D16" s="193">
        <v>15552.74653149</v>
      </c>
      <c r="E16" s="193">
        <v>15552.713499770001</v>
      </c>
      <c r="F16" s="193">
        <v>-0.03303171999868937</v>
      </c>
      <c r="G16" s="193">
        <v>5948.945697560002</v>
      </c>
      <c r="H16" s="194">
        <v>-0.00021238512395099662</v>
      </c>
      <c r="I16" s="194">
        <v>63.841249612145944</v>
      </c>
      <c r="J16" s="194">
        <v>64.71111616093648</v>
      </c>
      <c r="K16" s="237">
        <v>61.943872655803325</v>
      </c>
      <c r="L16" s="55"/>
    </row>
    <row r="17" spans="1:12" ht="11.25">
      <c r="A17" s="153"/>
      <c r="B17" s="157" t="s">
        <v>63</v>
      </c>
      <c r="C17" s="193">
        <v>2433.0491364400004</v>
      </c>
      <c r="D17" s="193">
        <v>3220.363453830002</v>
      </c>
      <c r="E17" s="193">
        <v>3220.363453830002</v>
      </c>
      <c r="F17" s="193">
        <v>0</v>
      </c>
      <c r="G17" s="193">
        <v>787.3143173900016</v>
      </c>
      <c r="H17" s="194">
        <v>0</v>
      </c>
      <c r="I17" s="196">
        <v>36.28951244585845</v>
      </c>
      <c r="J17" s="196">
        <v>49.70925864421418</v>
      </c>
      <c r="K17" s="237">
        <v>32.359162237964</v>
      </c>
      <c r="L17" s="55"/>
    </row>
    <row r="18" spans="1:12" ht="11.25">
      <c r="A18" s="153"/>
      <c r="B18" s="158" t="s">
        <v>64</v>
      </c>
      <c r="C18" s="195">
        <v>1198.70324175</v>
      </c>
      <c r="D18" s="195">
        <v>1526.7109595499999</v>
      </c>
      <c r="E18" s="195">
        <v>1526.7109595499999</v>
      </c>
      <c r="F18" s="195">
        <v>0</v>
      </c>
      <c r="G18" s="195">
        <v>328.0077177999999</v>
      </c>
      <c r="H18" s="196">
        <v>0</v>
      </c>
      <c r="I18" s="196">
        <v>25.16938819097634</v>
      </c>
      <c r="J18" s="196">
        <v>29.632486161019923</v>
      </c>
      <c r="K18" s="238">
        <v>27.363546403790306</v>
      </c>
      <c r="L18" s="55"/>
    </row>
    <row r="19" spans="1:12" ht="11.25">
      <c r="A19" s="153"/>
      <c r="B19" s="158" t="s">
        <v>65</v>
      </c>
      <c r="C19" s="195">
        <v>1234.3458946900005</v>
      </c>
      <c r="D19" s="195">
        <v>1693.6524942800022</v>
      </c>
      <c r="E19" s="195">
        <v>1693.6524942800022</v>
      </c>
      <c r="F19" s="195">
        <v>0</v>
      </c>
      <c r="G19" s="195">
        <v>459.3065995900017</v>
      </c>
      <c r="H19" s="196">
        <v>0</v>
      </c>
      <c r="I19" s="196">
        <v>51.75805413479016</v>
      </c>
      <c r="J19" s="196">
        <v>74.00136797121033</v>
      </c>
      <c r="K19" s="238">
        <v>37.21052596082512</v>
      </c>
      <c r="L19" s="55"/>
    </row>
    <row r="20" spans="1:12" ht="11.25">
      <c r="A20" s="153"/>
      <c r="B20" s="157" t="s">
        <v>105</v>
      </c>
      <c r="C20" s="193">
        <v>7275.230952659999</v>
      </c>
      <c r="D20" s="193">
        <v>12353.277203749998</v>
      </c>
      <c r="E20" s="193">
        <v>12363.244173029998</v>
      </c>
      <c r="F20" s="193">
        <v>9.96696927999983</v>
      </c>
      <c r="G20" s="193">
        <v>5088.013220369999</v>
      </c>
      <c r="H20" s="194">
        <v>0.08068279465933322</v>
      </c>
      <c r="I20" s="194">
        <v>71.82688818380126</v>
      </c>
      <c r="J20" s="194">
        <v>67.78668768054644</v>
      </c>
      <c r="K20" s="237">
        <v>69.9361058566766</v>
      </c>
      <c r="L20" s="55"/>
    </row>
    <row r="21" spans="1:12" ht="11.25">
      <c r="A21" s="153"/>
      <c r="B21" s="158" t="s">
        <v>161</v>
      </c>
      <c r="C21" s="195">
        <v>5193.069224819999</v>
      </c>
      <c r="D21" s="195">
        <v>8808.488157819998</v>
      </c>
      <c r="E21" s="195">
        <v>8808.488157819998</v>
      </c>
      <c r="F21" s="195">
        <v>0</v>
      </c>
      <c r="G21" s="195">
        <v>3615.418932999999</v>
      </c>
      <c r="H21" s="196">
        <v>0</v>
      </c>
      <c r="I21" s="196">
        <v>45.03160215804003</v>
      </c>
      <c r="J21" s="196">
        <v>56.399481641537854</v>
      </c>
      <c r="K21" s="238">
        <v>69.6200796962285</v>
      </c>
      <c r="L21" s="55"/>
    </row>
    <row r="22" spans="1:12" ht="11.25">
      <c r="A22" s="153"/>
      <c r="B22" s="160" t="s">
        <v>66</v>
      </c>
      <c r="C22" s="195">
        <v>2082.16172784</v>
      </c>
      <c r="D22" s="195">
        <v>3544.7890459299997</v>
      </c>
      <c r="E22" s="195">
        <v>3554.75601521</v>
      </c>
      <c r="F22" s="195">
        <v>9.966969280000285</v>
      </c>
      <c r="G22" s="195">
        <v>1472.59428737</v>
      </c>
      <c r="H22" s="196">
        <v>0.2811724238271387</v>
      </c>
      <c r="I22" s="196">
        <v>168.59485000892408</v>
      </c>
      <c r="J22" s="196">
        <v>104.84839425191406</v>
      </c>
      <c r="K22" s="238">
        <v>70.72429906286122</v>
      </c>
      <c r="L22" s="55"/>
    </row>
    <row r="23" spans="1:12" ht="11.25">
      <c r="A23" s="153"/>
      <c r="B23" s="161" t="s">
        <v>0</v>
      </c>
      <c r="C23" s="195">
        <v>10.917456249999999</v>
      </c>
      <c r="D23" s="195">
        <v>7.499666889999999</v>
      </c>
      <c r="E23" s="195">
        <v>7.499666889999999</v>
      </c>
      <c r="F23" s="195">
        <v>0</v>
      </c>
      <c r="G23" s="195">
        <v>-3.4177893599999996</v>
      </c>
      <c r="H23" s="196">
        <v>0</v>
      </c>
      <c r="I23" s="196">
        <v>-22.956671134396522</v>
      </c>
      <c r="J23" s="196">
        <v>-25.583692791886314</v>
      </c>
      <c r="K23" s="238">
        <v>-31.305729848928866</v>
      </c>
      <c r="L23" s="55"/>
    </row>
    <row r="24" spans="1:12" ht="11.25">
      <c r="A24" s="153"/>
      <c r="B24" s="161" t="s">
        <v>106</v>
      </c>
      <c r="C24" s="195">
        <v>47.36434313999997</v>
      </c>
      <c r="D24" s="195">
        <v>120.80800695999994</v>
      </c>
      <c r="E24" s="195">
        <v>120.80800695999994</v>
      </c>
      <c r="F24" s="195">
        <v>0</v>
      </c>
      <c r="G24" s="195">
        <v>73.44366381999998</v>
      </c>
      <c r="H24" s="196">
        <v>0</v>
      </c>
      <c r="I24" s="196">
        <v>110.66898646996219</v>
      </c>
      <c r="J24" s="196">
        <v>45.98594633514228</v>
      </c>
      <c r="K24" s="238">
        <v>155.0610838261063</v>
      </c>
      <c r="L24" s="55"/>
    </row>
    <row r="25" spans="1:12" ht="12" thickBot="1">
      <c r="A25" s="153"/>
      <c r="B25" s="162" t="s">
        <v>99</v>
      </c>
      <c r="C25" s="239">
        <v>-162.79408628</v>
      </c>
      <c r="D25" s="239">
        <v>-149.20179994</v>
      </c>
      <c r="E25" s="239">
        <v>-159.20180094</v>
      </c>
      <c r="F25" s="239">
        <v>-10.000000999999997</v>
      </c>
      <c r="G25" s="239">
        <v>3.5922853399999894</v>
      </c>
      <c r="H25" s="240">
        <v>6.702332682327825</v>
      </c>
      <c r="I25" s="240">
        <v>-16.138718016353902</v>
      </c>
      <c r="J25" s="240">
        <v>-9.001134062857009</v>
      </c>
      <c r="K25" s="241">
        <v>-2.2066436331239836</v>
      </c>
      <c r="L25" s="55"/>
    </row>
    <row r="26" spans="2:12" ht="12" customHeight="1" hidden="1">
      <c r="B26" s="98" t="s">
        <v>77</v>
      </c>
      <c r="C26" s="197">
        <v>0.0005970500023977365</v>
      </c>
      <c r="D26" s="197">
        <v>-0.044205399997736095</v>
      </c>
      <c r="E26" s="197">
        <v>-0.01117267999870819</v>
      </c>
      <c r="F26" s="197">
        <v>0.033032719999027904</v>
      </c>
      <c r="G26" s="197">
        <v>-0.011769730001105927</v>
      </c>
      <c r="H26" s="197">
        <v>0.00021239155370395896</v>
      </c>
      <c r="I26" s="197">
        <v>0.0006087325444852354</v>
      </c>
      <c r="J26" s="197">
        <v>-3.799632619916338E-05</v>
      </c>
      <c r="K26" s="198">
        <v>-0.0001264041925139736</v>
      </c>
      <c r="L26" s="55">
        <f>(E26-C26)/C26*100</f>
        <v>-1971.3139525733209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53"/>
      <c r="B30" s="288" t="s">
        <v>78</v>
      </c>
      <c r="C30" s="289"/>
      <c r="D30" s="289"/>
      <c r="E30" s="289"/>
      <c r="F30" s="289"/>
      <c r="G30" s="289"/>
      <c r="H30" s="289"/>
      <c r="I30" s="289"/>
      <c r="J30" s="289"/>
      <c r="K30" s="290"/>
      <c r="L30" s="153"/>
    </row>
    <row r="31" spans="1:12" ht="11.25">
      <c r="A31" s="153"/>
      <c r="B31" s="294" t="s">
        <v>126</v>
      </c>
      <c r="C31" s="295"/>
      <c r="D31" s="295"/>
      <c r="E31" s="295"/>
      <c r="F31" s="295"/>
      <c r="G31" s="295"/>
      <c r="H31" s="295"/>
      <c r="I31" s="295"/>
      <c r="J31" s="295"/>
      <c r="K31" s="296"/>
      <c r="L31" s="153"/>
    </row>
    <row r="32" spans="1:12" ht="11.25">
      <c r="A32" s="153"/>
      <c r="B32" s="155"/>
      <c r="C32" s="109"/>
      <c r="D32" s="43"/>
      <c r="E32" s="109"/>
      <c r="F32" s="284" t="s">
        <v>118</v>
      </c>
      <c r="G32" s="291"/>
      <c r="H32" s="176" t="s">
        <v>148</v>
      </c>
      <c r="I32" s="284" t="s">
        <v>149</v>
      </c>
      <c r="J32" s="285"/>
      <c r="K32" s="286"/>
      <c r="L32" s="153"/>
    </row>
    <row r="33" spans="1:12" ht="11.25">
      <c r="A33" s="153"/>
      <c r="B33" s="156"/>
      <c r="C33" s="12">
        <f>C5</f>
        <v>39506</v>
      </c>
      <c r="D33" s="108">
        <f>D5</f>
        <v>39841</v>
      </c>
      <c r="E33" s="12">
        <f>E5</f>
        <v>39854</v>
      </c>
      <c r="F33" s="12" t="s">
        <v>121</v>
      </c>
      <c r="G33" s="99" t="s">
        <v>120</v>
      </c>
      <c r="H33" s="99" t="s">
        <v>150</v>
      </c>
      <c r="I33" s="12">
        <f>I5</f>
        <v>39783</v>
      </c>
      <c r="J33" s="12">
        <f>J5</f>
        <v>39814</v>
      </c>
      <c r="K33" s="225">
        <f>K5</f>
        <v>39845</v>
      </c>
      <c r="L33" s="153"/>
    </row>
    <row r="34" spans="1:12" ht="11.25">
      <c r="A34" s="153"/>
      <c r="B34" s="163" t="s">
        <v>56</v>
      </c>
      <c r="C34" s="208">
        <v>42195.04328917959</v>
      </c>
      <c r="D34" s="208">
        <v>45985.906168454705</v>
      </c>
      <c r="E34" s="208">
        <v>45323.60360304877</v>
      </c>
      <c r="F34" s="208">
        <v>-662.3025654059384</v>
      </c>
      <c r="G34" s="208">
        <v>3128.560313869173</v>
      </c>
      <c r="H34" s="209">
        <v>-1.4402294541719023</v>
      </c>
      <c r="I34" s="209">
        <v>12.923421717492012</v>
      </c>
      <c r="J34" s="209">
        <v>12.371264329672837</v>
      </c>
      <c r="K34" s="242">
        <v>7.403019573794878</v>
      </c>
      <c r="L34" s="153"/>
    </row>
    <row r="35" spans="1:12" ht="11.25">
      <c r="A35" s="153"/>
      <c r="B35" s="163" t="s">
        <v>130</v>
      </c>
      <c r="C35" s="208">
        <v>2844.105142259589</v>
      </c>
      <c r="D35" s="208">
        <v>2815.934223186252</v>
      </c>
      <c r="E35" s="208">
        <v>2129.186138899585</v>
      </c>
      <c r="F35" s="208">
        <v>-686.7480842866671</v>
      </c>
      <c r="G35" s="208">
        <v>-714.9190033600039</v>
      </c>
      <c r="H35" s="209">
        <v>-24.387930606901968</v>
      </c>
      <c r="I35" s="209">
        <v>5.903002084898801</v>
      </c>
      <c r="J35" s="209">
        <v>2.087735636903032</v>
      </c>
      <c r="K35" s="242">
        <v>-25.136869686611305</v>
      </c>
      <c r="L35" s="153"/>
    </row>
    <row r="36" spans="1:12" ht="11.25">
      <c r="A36" s="153"/>
      <c r="B36" s="164" t="s">
        <v>67</v>
      </c>
      <c r="C36" s="210">
        <v>186.44585999999998</v>
      </c>
      <c r="D36" s="210">
        <v>315.11984977</v>
      </c>
      <c r="E36" s="210">
        <v>224.02194485478185</v>
      </c>
      <c r="F36" s="210">
        <v>-91.09790491521812</v>
      </c>
      <c r="G36" s="210">
        <v>37.57608485478187</v>
      </c>
      <c r="H36" s="211">
        <v>-28.908970660435628</v>
      </c>
      <c r="I36" s="211">
        <v>145.52674392403517</v>
      </c>
      <c r="J36" s="211">
        <v>129.77494933712245</v>
      </c>
      <c r="K36" s="243">
        <v>20.153885344937073</v>
      </c>
      <c r="L36" s="153"/>
    </row>
    <row r="37" spans="1:12" ht="11.25">
      <c r="A37" s="153"/>
      <c r="B37" s="164" t="s">
        <v>57</v>
      </c>
      <c r="C37" s="210">
        <v>2602.775282259589</v>
      </c>
      <c r="D37" s="210">
        <v>2226.8684682099506</v>
      </c>
      <c r="E37" s="210">
        <v>1717.5953874660358</v>
      </c>
      <c r="F37" s="210">
        <v>-509.27308074391476</v>
      </c>
      <c r="G37" s="210">
        <v>-885.1798947935531</v>
      </c>
      <c r="H37" s="211">
        <v>-22.86947289497029</v>
      </c>
      <c r="I37" s="211">
        <v>-17.65632979030496</v>
      </c>
      <c r="J37" s="211">
        <v>-13.23807066174183</v>
      </c>
      <c r="K37" s="243">
        <v>-34.00907872557817</v>
      </c>
      <c r="L37" s="153"/>
    </row>
    <row r="38" spans="1:12" ht="11.25">
      <c r="A38" s="153"/>
      <c r="B38" s="164" t="s">
        <v>68</v>
      </c>
      <c r="C38" s="210">
        <v>54.884</v>
      </c>
      <c r="D38" s="210">
        <v>80.35</v>
      </c>
      <c r="E38" s="210">
        <v>81.355</v>
      </c>
      <c r="F38" s="210">
        <v>1.0050000000000097</v>
      </c>
      <c r="G38" s="210">
        <v>26.471000000000004</v>
      </c>
      <c r="H38" s="211">
        <v>1.2507778469197384</v>
      </c>
      <c r="I38" s="211">
        <v>53.32188513642435</v>
      </c>
      <c r="J38" s="211">
        <v>47.26366335544883</v>
      </c>
      <c r="K38" s="243">
        <v>48.230814080606365</v>
      </c>
      <c r="L38" s="153"/>
    </row>
    <row r="39" spans="1:12" ht="11.25">
      <c r="A39" s="153"/>
      <c r="B39" s="164" t="s">
        <v>69</v>
      </c>
      <c r="C39" s="210">
        <v>0</v>
      </c>
      <c r="D39" s="210">
        <v>193.59590520630132</v>
      </c>
      <c r="E39" s="210">
        <v>106.21380657876713</v>
      </c>
      <c r="F39" s="210">
        <v>-87.38209862753419</v>
      </c>
      <c r="G39" s="210">
        <v>106.21380657876713</v>
      </c>
      <c r="H39" s="211">
        <v>-45.13633619183078</v>
      </c>
      <c r="I39" s="211">
        <v>0</v>
      </c>
      <c r="J39" s="211">
        <v>1</v>
      </c>
      <c r="K39" s="243">
        <v>2</v>
      </c>
      <c r="L39" s="153"/>
    </row>
    <row r="40" spans="1:12" ht="11.25">
      <c r="A40" s="153"/>
      <c r="B40" s="163" t="s">
        <v>60</v>
      </c>
      <c r="C40" s="208">
        <v>37478.948141010005</v>
      </c>
      <c r="D40" s="208">
        <v>41180.29133457146</v>
      </c>
      <c r="E40" s="208">
        <v>41035.566587339184</v>
      </c>
      <c r="F40" s="208">
        <v>-144.72474723227788</v>
      </c>
      <c r="G40" s="208">
        <v>3556.6184463291793</v>
      </c>
      <c r="H40" s="209">
        <v>-0.3514417760099218</v>
      </c>
      <c r="I40" s="209">
        <v>13.428896896370834</v>
      </c>
      <c r="J40" s="209">
        <v>13.327597489301857</v>
      </c>
      <c r="K40" s="242">
        <v>9.489643180347107</v>
      </c>
      <c r="L40" s="153"/>
    </row>
    <row r="41" spans="1:12" ht="11.25">
      <c r="A41" s="153"/>
      <c r="B41" s="164" t="s">
        <v>80</v>
      </c>
      <c r="C41" s="210">
        <v>1558.89250937</v>
      </c>
      <c r="D41" s="210">
        <v>1909.162663221453</v>
      </c>
      <c r="E41" s="210">
        <v>1878.6188015091825</v>
      </c>
      <c r="F41" s="210">
        <v>-30.543861712270427</v>
      </c>
      <c r="G41" s="210">
        <v>319.72629213918253</v>
      </c>
      <c r="H41" s="211">
        <v>-1.5998564344816908</v>
      </c>
      <c r="I41" s="211">
        <v>105.1030516164551</v>
      </c>
      <c r="J41" s="211">
        <v>71.46290762852607</v>
      </c>
      <c r="K41" s="243">
        <v>20.509835682538146</v>
      </c>
      <c r="L41" s="153"/>
    </row>
    <row r="42" spans="1:12" ht="11.25">
      <c r="A42" s="153"/>
      <c r="B42" s="164" t="s">
        <v>162</v>
      </c>
      <c r="C42" s="210">
        <v>2321.33855145</v>
      </c>
      <c r="D42" s="210">
        <v>2691.7645216600004</v>
      </c>
      <c r="E42" s="210">
        <v>2446.40127431</v>
      </c>
      <c r="F42" s="210">
        <v>-245.36324735000017</v>
      </c>
      <c r="G42" s="210">
        <v>125.06272286000012</v>
      </c>
      <c r="H42" s="211">
        <v>-9.115331054244137</v>
      </c>
      <c r="I42" s="211">
        <v>-11.72718967980031</v>
      </c>
      <c r="J42" s="211">
        <v>3.5891365830351685</v>
      </c>
      <c r="K42" s="243">
        <v>5.387526209043525</v>
      </c>
      <c r="L42" s="153"/>
    </row>
    <row r="43" spans="1:12" ht="11.25">
      <c r="A43" s="153"/>
      <c r="B43" s="164" t="s">
        <v>50</v>
      </c>
      <c r="C43" s="210">
        <v>2874.6360893500005</v>
      </c>
      <c r="D43" s="210">
        <v>2567.9314860599998</v>
      </c>
      <c r="E43" s="210">
        <v>2520.1412598499996</v>
      </c>
      <c r="F43" s="210">
        <v>-47.79022621000013</v>
      </c>
      <c r="G43" s="210">
        <v>-354.49482950000083</v>
      </c>
      <c r="H43" s="211">
        <v>-1.8610397695354834</v>
      </c>
      <c r="I43" s="211">
        <v>10.966112310282018</v>
      </c>
      <c r="J43" s="211">
        <v>5.663294614915615</v>
      </c>
      <c r="K43" s="243">
        <v>-12.331815871001517</v>
      </c>
      <c r="L43" s="153"/>
    </row>
    <row r="44" spans="1:12" ht="11.25">
      <c r="A44" s="153"/>
      <c r="B44" s="164" t="s">
        <v>81</v>
      </c>
      <c r="C44" s="210">
        <v>26.272</v>
      </c>
      <c r="D44" s="210">
        <v>89.38140946</v>
      </c>
      <c r="E44" s="210">
        <v>78.23304601000001</v>
      </c>
      <c r="F44" s="210">
        <v>-11.14836344999999</v>
      </c>
      <c r="G44" s="210">
        <v>51.96104601000001</v>
      </c>
      <c r="H44" s="211">
        <v>-12.472798893363962</v>
      </c>
      <c r="I44" s="211">
        <v>82.77728983543938</v>
      </c>
      <c r="J44" s="211">
        <v>260.4379766916687</v>
      </c>
      <c r="K44" s="243">
        <v>197.7810825593789</v>
      </c>
      <c r="L44" s="153"/>
    </row>
    <row r="45" spans="1:12" ht="11.25">
      <c r="A45" s="153"/>
      <c r="B45" s="164" t="s">
        <v>144</v>
      </c>
      <c r="C45" s="210">
        <v>259.15700000000004</v>
      </c>
      <c r="D45" s="210">
        <v>546.67425839</v>
      </c>
      <c r="E45" s="210">
        <v>524.13633568</v>
      </c>
      <c r="F45" s="210">
        <v>-22.537922709999975</v>
      </c>
      <c r="G45" s="210">
        <v>264.97933567999996</v>
      </c>
      <c r="H45" s="211">
        <v>-4.12273348600243</v>
      </c>
      <c r="I45" s="211">
        <v>183.77473664307314</v>
      </c>
      <c r="J45" s="211">
        <v>152.36089186332075</v>
      </c>
      <c r="K45" s="243">
        <v>102.24664418865781</v>
      </c>
      <c r="L45" s="153"/>
    </row>
    <row r="46" spans="1:12" ht="11.25">
      <c r="A46" s="153"/>
      <c r="B46" s="164" t="s">
        <v>145</v>
      </c>
      <c r="C46" s="210">
        <v>10292.84249227</v>
      </c>
      <c r="D46" s="210">
        <v>11301.75741016</v>
      </c>
      <c r="E46" s="210">
        <v>11691.20542326</v>
      </c>
      <c r="F46" s="210">
        <v>389.4480131</v>
      </c>
      <c r="G46" s="210">
        <v>1398.3629309900007</v>
      </c>
      <c r="H46" s="211">
        <v>3.445906675982055</v>
      </c>
      <c r="I46" s="211">
        <v>12.457248685971688</v>
      </c>
      <c r="J46" s="211">
        <v>12.223004929294845</v>
      </c>
      <c r="K46" s="243">
        <v>13.585779944074549</v>
      </c>
      <c r="L46" s="153"/>
    </row>
    <row r="47" spans="1:12" ht="11.25">
      <c r="A47" s="153"/>
      <c r="B47" s="164" t="s">
        <v>51</v>
      </c>
      <c r="C47" s="210">
        <v>20145.809498570005</v>
      </c>
      <c r="D47" s="210">
        <v>22073.619585620003</v>
      </c>
      <c r="E47" s="210">
        <v>21896.830446720007</v>
      </c>
      <c r="F47" s="210">
        <v>-176.78913889999603</v>
      </c>
      <c r="G47" s="210">
        <v>1751.0209481500024</v>
      </c>
      <c r="H47" s="211">
        <v>-0.8009068844113197</v>
      </c>
      <c r="I47" s="211">
        <v>11.395060097215492</v>
      </c>
      <c r="J47" s="211">
        <v>11.018036824828004</v>
      </c>
      <c r="K47" s="243">
        <v>8.69173784391386</v>
      </c>
      <c r="L47" s="153"/>
    </row>
    <row r="48" spans="1:12" ht="11.25">
      <c r="A48" s="153"/>
      <c r="B48" s="165" t="s">
        <v>124</v>
      </c>
      <c r="C48" s="208">
        <v>1871.99000591</v>
      </c>
      <c r="D48" s="208">
        <v>1989.6806106969864</v>
      </c>
      <c r="E48" s="208">
        <v>2158.8508768099996</v>
      </c>
      <c r="F48" s="208">
        <v>169.1702661130132</v>
      </c>
      <c r="G48" s="208">
        <v>286.86087089999955</v>
      </c>
      <c r="H48" s="209">
        <v>8.502383005770596</v>
      </c>
      <c r="I48" s="209">
        <v>9.886837558383954</v>
      </c>
      <c r="J48" s="209">
        <v>8.868993803857794</v>
      </c>
      <c r="K48" s="242">
        <v>15.06460344391163</v>
      </c>
      <c r="L48" s="153"/>
    </row>
    <row r="49" spans="1:12" ht="11.25">
      <c r="A49" s="153"/>
      <c r="B49" s="166"/>
      <c r="C49" s="208"/>
      <c r="D49" s="208"/>
      <c r="E49" s="208"/>
      <c r="F49" s="208"/>
      <c r="G49" s="210"/>
      <c r="H49" s="211"/>
      <c r="I49" s="211"/>
      <c r="J49" s="211"/>
      <c r="K49" s="243"/>
      <c r="L49" s="153"/>
    </row>
    <row r="50" spans="1:12" ht="11.25">
      <c r="A50" s="153"/>
      <c r="B50" s="163" t="s">
        <v>62</v>
      </c>
      <c r="C50" s="208">
        <v>42195.04224166095</v>
      </c>
      <c r="D50" s="208">
        <v>45985.90656496377</v>
      </c>
      <c r="E50" s="208">
        <v>45323.60463531067</v>
      </c>
      <c r="F50" s="208">
        <v>-662.3019296530983</v>
      </c>
      <c r="G50" s="208">
        <v>3128.5623936497213</v>
      </c>
      <c r="H50" s="209">
        <v>-1.4402280592587033</v>
      </c>
      <c r="I50" s="209">
        <v>12.935529757645114</v>
      </c>
      <c r="J50" s="209">
        <v>12.383125806440676</v>
      </c>
      <c r="K50" s="242">
        <v>7.41452603775512</v>
      </c>
      <c r="L50" s="153"/>
    </row>
    <row r="51" spans="1:12" ht="11.25">
      <c r="A51" s="153"/>
      <c r="B51" s="167" t="s">
        <v>70</v>
      </c>
      <c r="C51" s="208">
        <v>958.1139279534246</v>
      </c>
      <c r="D51" s="208">
        <v>1063.89001992</v>
      </c>
      <c r="E51" s="208">
        <v>1362.9465277934248</v>
      </c>
      <c r="F51" s="208">
        <v>299.05650787342483</v>
      </c>
      <c r="G51" s="208">
        <v>404.83259984000017</v>
      </c>
      <c r="H51" s="209">
        <v>28.10972020358952</v>
      </c>
      <c r="I51" s="209">
        <v>9.283777592934396</v>
      </c>
      <c r="J51" s="209">
        <v>19.02368375514183</v>
      </c>
      <c r="K51" s="242">
        <v>42.253075341962855</v>
      </c>
      <c r="L51" s="153"/>
    </row>
    <row r="52" spans="1:12" ht="11.25">
      <c r="A52" s="153"/>
      <c r="B52" s="164" t="s">
        <v>57</v>
      </c>
      <c r="C52" s="210">
        <v>286.6578517</v>
      </c>
      <c r="D52" s="210">
        <v>269.84831605</v>
      </c>
      <c r="E52" s="210">
        <v>562.5880101800001</v>
      </c>
      <c r="F52" s="210">
        <v>292.7396941300001</v>
      </c>
      <c r="G52" s="210">
        <v>275.9301584800001</v>
      </c>
      <c r="H52" s="211">
        <v>108.48305389304656</v>
      </c>
      <c r="I52" s="211">
        <v>-12.200197535661971</v>
      </c>
      <c r="J52" s="211">
        <v>14.646405049779965</v>
      </c>
      <c r="K52" s="243">
        <v>96.25766635855943</v>
      </c>
      <c r="L52" s="153"/>
    </row>
    <row r="53" spans="1:12" ht="11.25">
      <c r="A53" s="153"/>
      <c r="B53" s="164" t="s">
        <v>58</v>
      </c>
      <c r="C53" s="210">
        <v>444.827</v>
      </c>
      <c r="D53" s="210">
        <v>571.15005067</v>
      </c>
      <c r="E53" s="210">
        <v>573.72944136</v>
      </c>
      <c r="F53" s="210">
        <v>2.5793906899999683</v>
      </c>
      <c r="G53" s="210">
        <v>128.90244136</v>
      </c>
      <c r="H53" s="211">
        <v>0.4516134922817844</v>
      </c>
      <c r="I53" s="211">
        <v>29.363600432506253</v>
      </c>
      <c r="J53" s="211">
        <v>29.173877697011918</v>
      </c>
      <c r="K53" s="243">
        <v>28.978106400915404</v>
      </c>
      <c r="L53" s="153"/>
    </row>
    <row r="54" spans="1:12" ht="11.25">
      <c r="A54" s="153"/>
      <c r="B54" s="164" t="s">
        <v>68</v>
      </c>
      <c r="C54" s="210">
        <v>226.62907625342464</v>
      </c>
      <c r="D54" s="210">
        <v>222.8916532</v>
      </c>
      <c r="E54" s="210">
        <v>226.62907625342464</v>
      </c>
      <c r="F54" s="210">
        <v>3.737423053424635</v>
      </c>
      <c r="G54" s="210">
        <v>0</v>
      </c>
      <c r="H54" s="211">
        <v>1.6767891483451185</v>
      </c>
      <c r="I54" s="211">
        <v>1.7798713835430302</v>
      </c>
      <c r="J54" s="211">
        <v>3.039405134835027</v>
      </c>
      <c r="K54" s="243">
        <v>0</v>
      </c>
      <c r="L54" s="153"/>
    </row>
    <row r="55" spans="1:12" ht="11.25">
      <c r="A55" s="153"/>
      <c r="B55" s="164" t="s">
        <v>71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1">
        <v>0</v>
      </c>
      <c r="I55" s="211">
        <v>0</v>
      </c>
      <c r="J55" s="211">
        <v>0</v>
      </c>
      <c r="K55" s="243">
        <v>0</v>
      </c>
      <c r="L55" s="153"/>
    </row>
    <row r="56" spans="1:12" ht="11.25">
      <c r="A56" s="153"/>
      <c r="B56" s="163" t="s">
        <v>72</v>
      </c>
      <c r="C56" s="208">
        <v>41236.928313707525</v>
      </c>
      <c r="D56" s="208">
        <v>44922.01654504377</v>
      </c>
      <c r="E56" s="208">
        <v>43960.65810751725</v>
      </c>
      <c r="F56" s="208">
        <v>-961.35843752652</v>
      </c>
      <c r="G56" s="208">
        <v>2723.7297938097254</v>
      </c>
      <c r="H56" s="209">
        <v>-2.140060735168814</v>
      </c>
      <c r="I56" s="209">
        <v>13.028077906871438</v>
      </c>
      <c r="J56" s="209">
        <v>12.234827456732521</v>
      </c>
      <c r="K56" s="242">
        <v>6.605074396155586</v>
      </c>
      <c r="L56" s="153"/>
    </row>
    <row r="57" spans="1:12" ht="11.25">
      <c r="A57" s="153"/>
      <c r="B57" s="164" t="s">
        <v>73</v>
      </c>
      <c r="C57" s="210">
        <v>26829.247713932757</v>
      </c>
      <c r="D57" s="210">
        <v>28671.975088850435</v>
      </c>
      <c r="E57" s="210">
        <v>28099.925654122755</v>
      </c>
      <c r="F57" s="210">
        <v>-572.0494347276799</v>
      </c>
      <c r="G57" s="210">
        <v>1270.6779401899985</v>
      </c>
      <c r="H57" s="211">
        <v>-1.9951518266703945</v>
      </c>
      <c r="I57" s="211">
        <v>17.157174191876035</v>
      </c>
      <c r="J57" s="211">
        <v>14.140865405330416</v>
      </c>
      <c r="K57" s="243">
        <v>4.736166864381075</v>
      </c>
      <c r="L57" s="153"/>
    </row>
    <row r="58" spans="1:12" ht="11.25">
      <c r="A58" s="153"/>
      <c r="B58" s="168" t="s">
        <v>74</v>
      </c>
      <c r="C58" s="210">
        <v>16645.222026542757</v>
      </c>
      <c r="D58" s="210">
        <v>17746.244522060435</v>
      </c>
      <c r="E58" s="210">
        <v>17683.793264842756</v>
      </c>
      <c r="F58" s="210">
        <v>-62.451257217679085</v>
      </c>
      <c r="G58" s="210">
        <v>1038.571238299999</v>
      </c>
      <c r="H58" s="211">
        <v>-0.351912525154523</v>
      </c>
      <c r="I58" s="211">
        <v>26.161525618316904</v>
      </c>
      <c r="J58" s="211">
        <v>20.493066738373166</v>
      </c>
      <c r="K58" s="243">
        <v>6.239455602597999</v>
      </c>
      <c r="L58" s="153"/>
    </row>
    <row r="59" spans="1:12" ht="11.25">
      <c r="A59" s="153"/>
      <c r="B59" s="168" t="s">
        <v>71</v>
      </c>
      <c r="C59" s="210">
        <v>10184.02568739</v>
      </c>
      <c r="D59" s="210">
        <v>10925.73056679</v>
      </c>
      <c r="E59" s="210">
        <v>10416.13238928</v>
      </c>
      <c r="F59" s="210">
        <v>-509.5981775100008</v>
      </c>
      <c r="G59" s="210">
        <v>232.10670188999939</v>
      </c>
      <c r="H59" s="211">
        <v>-4.664202310269141</v>
      </c>
      <c r="I59" s="211">
        <v>4.920324942701626</v>
      </c>
      <c r="J59" s="211">
        <v>5.138054889636567</v>
      </c>
      <c r="K59" s="243">
        <v>2.2791252596445988</v>
      </c>
      <c r="L59" s="153"/>
    </row>
    <row r="60" spans="1:12" ht="11.25">
      <c r="A60" s="153"/>
      <c r="B60" s="164" t="s">
        <v>113</v>
      </c>
      <c r="C60" s="210">
        <v>1013.2376336599999</v>
      </c>
      <c r="D60" s="210">
        <v>975.36429735</v>
      </c>
      <c r="E60" s="210">
        <v>972.7521308500001</v>
      </c>
      <c r="F60" s="210">
        <v>-2.612166499999944</v>
      </c>
      <c r="G60" s="210">
        <v>-40.48550280999984</v>
      </c>
      <c r="H60" s="211">
        <v>-0.26781444708372315</v>
      </c>
      <c r="I60" s="211">
        <v>-47.44457890841339</v>
      </c>
      <c r="J60" s="211">
        <v>-38.91809498906156</v>
      </c>
      <c r="K60" s="243">
        <v>-3.995657234301375</v>
      </c>
      <c r="L60" s="153"/>
    </row>
    <row r="61" spans="1:12" ht="11.25">
      <c r="A61" s="153"/>
      <c r="B61" s="164" t="s">
        <v>131</v>
      </c>
      <c r="C61" s="210">
        <v>3.924901095460822</v>
      </c>
      <c r="D61" s="210">
        <v>3.9009582443606554</v>
      </c>
      <c r="E61" s="210">
        <v>3.924901095460822</v>
      </c>
      <c r="F61" s="210">
        <v>0.023942851100166695</v>
      </c>
      <c r="G61" s="210">
        <v>0</v>
      </c>
      <c r="H61" s="211">
        <v>0.6137684538095022</v>
      </c>
      <c r="I61" s="211">
        <v>-34.87453239696786</v>
      </c>
      <c r="J61" s="211">
        <v>-34.87453239696786</v>
      </c>
      <c r="K61" s="243">
        <v>0</v>
      </c>
      <c r="L61" s="153"/>
    </row>
    <row r="62" spans="1:12" ht="11.25">
      <c r="A62" s="153"/>
      <c r="B62" s="164" t="s">
        <v>132</v>
      </c>
      <c r="C62" s="210">
        <v>4699.61836917</v>
      </c>
      <c r="D62" s="210">
        <v>6440.357762475753</v>
      </c>
      <c r="E62" s="210">
        <v>6060.230342660549</v>
      </c>
      <c r="F62" s="210">
        <v>-380.1274198152041</v>
      </c>
      <c r="G62" s="210">
        <v>1360.6119734905487</v>
      </c>
      <c r="H62" s="211">
        <v>-5.902271796607126</v>
      </c>
      <c r="I62" s="211">
        <v>30.200094085869257</v>
      </c>
      <c r="J62" s="211">
        <v>37.03370632654301</v>
      </c>
      <c r="K62" s="243">
        <v>28.951541734033313</v>
      </c>
      <c r="L62" s="153"/>
    </row>
    <row r="63" spans="1:12" ht="11.25">
      <c r="A63" s="153"/>
      <c r="B63" s="164" t="s">
        <v>100</v>
      </c>
      <c r="C63" s="210">
        <v>589.019570469726</v>
      </c>
      <c r="D63" s="210">
        <v>601.1961432485376</v>
      </c>
      <c r="E63" s="210">
        <v>539.457057639726</v>
      </c>
      <c r="F63" s="210">
        <v>-61.73908560881159</v>
      </c>
      <c r="G63" s="210">
        <v>-49.562512829999946</v>
      </c>
      <c r="H63" s="211">
        <v>-10.269374862454555</v>
      </c>
      <c r="I63" s="211">
        <v>-6.1045962971206125</v>
      </c>
      <c r="J63" s="211">
        <v>-5.636162857703075</v>
      </c>
      <c r="K63" s="243">
        <v>-8.414408504368588</v>
      </c>
      <c r="L63" s="153"/>
    </row>
    <row r="64" spans="1:12" ht="11.25">
      <c r="A64" s="153"/>
      <c r="B64" s="164" t="s">
        <v>101</v>
      </c>
      <c r="C64" s="210">
        <v>881.1179178100001</v>
      </c>
      <c r="D64" s="210">
        <v>231.82671397</v>
      </c>
      <c r="E64" s="210">
        <v>413.22353497999995</v>
      </c>
      <c r="F64" s="210">
        <v>181.39682100999997</v>
      </c>
      <c r="G64" s="210">
        <v>-467.89438283000015</v>
      </c>
      <c r="H64" s="211">
        <v>78.24672916404018</v>
      </c>
      <c r="I64" s="211">
        <v>-81.77593974543475</v>
      </c>
      <c r="J64" s="211">
        <v>-72.76046257580191</v>
      </c>
      <c r="K64" s="243">
        <v>-53.102357059420804</v>
      </c>
      <c r="L64" s="153"/>
    </row>
    <row r="65" spans="1:12" ht="11.25">
      <c r="A65" s="153"/>
      <c r="B65" s="164" t="s">
        <v>68</v>
      </c>
      <c r="C65" s="210">
        <v>6.863129799999999</v>
      </c>
      <c r="D65" s="210">
        <v>8.03541087</v>
      </c>
      <c r="E65" s="210">
        <v>6.863129799999999</v>
      </c>
      <c r="F65" s="210">
        <v>-1.1722810700000004</v>
      </c>
      <c r="G65" s="210">
        <v>0</v>
      </c>
      <c r="H65" s="211">
        <v>-14.588937503826738</v>
      </c>
      <c r="I65" s="211">
        <v>11.080014505283664</v>
      </c>
      <c r="J65" s="211">
        <v>13.017998541297061</v>
      </c>
      <c r="K65" s="243">
        <v>0</v>
      </c>
      <c r="L65" s="153"/>
    </row>
    <row r="66" spans="1:12" ht="11.25">
      <c r="A66" s="153"/>
      <c r="B66" s="164" t="s">
        <v>163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1">
        <v>0</v>
      </c>
      <c r="I66" s="211">
        <v>0</v>
      </c>
      <c r="J66" s="211">
        <v>0</v>
      </c>
      <c r="K66" s="243">
        <v>0</v>
      </c>
      <c r="L66" s="153"/>
    </row>
    <row r="67" spans="1:12" ht="11.25">
      <c r="A67" s="153"/>
      <c r="B67" s="164" t="s">
        <v>66</v>
      </c>
      <c r="C67" s="210">
        <v>5075.206551570001</v>
      </c>
      <c r="D67" s="210">
        <v>6039.275582582937</v>
      </c>
      <c r="E67" s="210">
        <v>5774.270798538338</v>
      </c>
      <c r="F67" s="210">
        <v>-265.00478404459955</v>
      </c>
      <c r="G67" s="210">
        <v>699.0642469683371</v>
      </c>
      <c r="H67" s="211">
        <v>-4.3880227093604445</v>
      </c>
      <c r="I67" s="211">
        <v>23.547726845429562</v>
      </c>
      <c r="J67" s="211">
        <v>21.69946296163929</v>
      </c>
      <c r="K67" s="243">
        <v>13.774104361369943</v>
      </c>
      <c r="L67" s="153"/>
    </row>
    <row r="68" spans="1:12" ht="11.25">
      <c r="A68" s="153"/>
      <c r="B68" s="164" t="s">
        <v>102</v>
      </c>
      <c r="C68" s="210">
        <v>2138.5181473000002</v>
      </c>
      <c r="D68" s="210">
        <v>1952.5689606498354</v>
      </c>
      <c r="E68" s="210">
        <v>2091.430675201662</v>
      </c>
      <c r="F68" s="210">
        <v>138.86171455182648</v>
      </c>
      <c r="G68" s="210">
        <v>-47.08747209833837</v>
      </c>
      <c r="H68" s="211">
        <v>7.111744442849888</v>
      </c>
      <c r="I68" s="211">
        <v>-9.595093711770152</v>
      </c>
      <c r="J68" s="211">
        <v>-8.886197597169298</v>
      </c>
      <c r="K68" s="243">
        <v>-2.2018738610092625</v>
      </c>
      <c r="L68" s="153"/>
    </row>
    <row r="69" spans="1:12" ht="11.25" customHeight="1" hidden="1">
      <c r="A69" s="153"/>
      <c r="B69" s="164" t="s">
        <v>103</v>
      </c>
      <c r="C69" s="210">
        <v>0.17437889958894282</v>
      </c>
      <c r="D69" s="210">
        <v>-2.4843731980821104</v>
      </c>
      <c r="E69" s="210">
        <v>-1.4201173712328412</v>
      </c>
      <c r="F69" s="210">
        <v>1.0642558268492692</v>
      </c>
      <c r="G69" s="210">
        <v>2.4843731980821104</v>
      </c>
      <c r="H69" s="211">
        <v>-42.83800145931597</v>
      </c>
      <c r="I69" s="211">
        <v>772.3906410870443</v>
      </c>
      <c r="J69" s="211">
        <v>-235.18317259144084</v>
      </c>
      <c r="K69" s="243">
        <v>-914.3860149252195</v>
      </c>
      <c r="L69" s="153"/>
    </row>
    <row r="70" spans="1:12" ht="12" customHeight="1" hidden="1">
      <c r="A70" s="153"/>
      <c r="B70" s="164" t="s">
        <v>103</v>
      </c>
      <c r="C70" s="199"/>
      <c r="D70" s="199"/>
      <c r="E70" s="199"/>
      <c r="F70" s="199"/>
      <c r="G70" s="199"/>
      <c r="H70" s="199"/>
      <c r="I70" s="199"/>
      <c r="J70" s="199"/>
      <c r="K70" s="244"/>
      <c r="L70" s="153"/>
    </row>
    <row r="71" spans="1:12" ht="12" customHeight="1" hidden="1" thickBot="1">
      <c r="A71" s="153"/>
      <c r="B71" s="169"/>
      <c r="C71" s="200"/>
      <c r="D71" s="200"/>
      <c r="E71" s="200"/>
      <c r="F71" s="200"/>
      <c r="G71" s="200"/>
      <c r="H71" s="200"/>
      <c r="I71" s="200"/>
      <c r="J71" s="200"/>
      <c r="K71" s="245"/>
      <c r="L71" s="153"/>
    </row>
    <row r="72" spans="1:12" ht="12" customHeight="1" hidden="1">
      <c r="A72" s="153"/>
      <c r="B72" s="169"/>
      <c r="C72" s="57"/>
      <c r="D72" s="57"/>
      <c r="E72" s="57"/>
      <c r="F72" s="57"/>
      <c r="G72" s="38"/>
      <c r="H72" s="38"/>
      <c r="I72" s="38"/>
      <c r="J72" s="38"/>
      <c r="K72" s="114"/>
      <c r="L72" s="153"/>
    </row>
    <row r="73" spans="1:12" ht="12" customHeight="1" thickBot="1">
      <c r="A73" s="153"/>
      <c r="B73" s="170"/>
      <c r="C73" s="171"/>
      <c r="D73" s="171"/>
      <c r="E73" s="171"/>
      <c r="F73" s="171"/>
      <c r="G73" s="40"/>
      <c r="H73" s="40"/>
      <c r="I73" s="40"/>
      <c r="J73" s="40"/>
      <c r="K73" s="118"/>
      <c r="L73" s="153"/>
    </row>
    <row r="74" ht="11.25">
      <c r="B74" s="56"/>
    </row>
    <row r="75" ht="11.25">
      <c r="B75" s="54"/>
    </row>
    <row r="76" ht="12" thickBot="1">
      <c r="B76" s="54"/>
    </row>
    <row r="77" spans="2:12" ht="11.25">
      <c r="B77" s="288" t="s">
        <v>78</v>
      </c>
      <c r="C77" s="289"/>
      <c r="D77" s="289"/>
      <c r="E77" s="289"/>
      <c r="F77" s="289"/>
      <c r="G77" s="289"/>
      <c r="H77" s="289"/>
      <c r="I77" s="289"/>
      <c r="J77" s="289"/>
      <c r="K77" s="290"/>
      <c r="L77" s="153"/>
    </row>
    <row r="78" spans="2:12" ht="12" thickBot="1">
      <c r="B78" s="311" t="s">
        <v>127</v>
      </c>
      <c r="C78" s="312"/>
      <c r="D78" s="312"/>
      <c r="E78" s="312"/>
      <c r="F78" s="312"/>
      <c r="G78" s="312"/>
      <c r="H78" s="312"/>
      <c r="I78" s="312"/>
      <c r="J78" s="312"/>
      <c r="K78" s="313"/>
      <c r="L78" s="153"/>
    </row>
    <row r="79" spans="2:12" ht="11.25">
      <c r="B79" s="155"/>
      <c r="C79" s="154"/>
      <c r="D79" s="43"/>
      <c r="E79" s="154"/>
      <c r="F79" s="284" t="s">
        <v>118</v>
      </c>
      <c r="G79" s="291"/>
      <c r="H79" s="175" t="s">
        <v>146</v>
      </c>
      <c r="I79" s="284" t="s">
        <v>149</v>
      </c>
      <c r="J79" s="285"/>
      <c r="K79" s="286"/>
      <c r="L79" s="153"/>
    </row>
    <row r="80" spans="2:11" ht="11.25">
      <c r="B80" s="156"/>
      <c r="C80" s="12">
        <f>C33</f>
        <v>39506</v>
      </c>
      <c r="D80" s="108">
        <f>D33</f>
        <v>39841</v>
      </c>
      <c r="E80" s="12">
        <f>E33</f>
        <v>39854</v>
      </c>
      <c r="F80" s="12" t="s">
        <v>121</v>
      </c>
      <c r="G80" s="99" t="s">
        <v>120</v>
      </c>
      <c r="H80" s="99" t="s">
        <v>150</v>
      </c>
      <c r="I80" s="12">
        <f>I33</f>
        <v>39783</v>
      </c>
      <c r="J80" s="12">
        <f>J33</f>
        <v>39814</v>
      </c>
      <c r="K80" s="225">
        <f>K33</f>
        <v>39845</v>
      </c>
    </row>
    <row r="81" spans="2:14" ht="11.25">
      <c r="B81" s="113" t="s">
        <v>56</v>
      </c>
      <c r="C81" s="212">
        <v>42761.03095928644</v>
      </c>
      <c r="D81" s="212">
        <v>49037.015816034705</v>
      </c>
      <c r="E81" s="212">
        <v>48147.23745449645</v>
      </c>
      <c r="F81" s="212">
        <v>-889.7783615382577</v>
      </c>
      <c r="G81" s="212">
        <v>5386.2064952100045</v>
      </c>
      <c r="H81" s="213">
        <v>-1.8145034862568195</v>
      </c>
      <c r="I81" s="213">
        <v>20.5443984574504</v>
      </c>
      <c r="J81" s="213">
        <v>18.522543027877724</v>
      </c>
      <c r="K81" s="246">
        <v>12.596063224804643</v>
      </c>
      <c r="L81" s="55"/>
      <c r="M81" s="55"/>
      <c r="N81" s="55"/>
    </row>
    <row r="82" spans="2:14" ht="11.25">
      <c r="B82" s="113" t="s">
        <v>1</v>
      </c>
      <c r="C82" s="212">
        <v>10542.645694256165</v>
      </c>
      <c r="D82" s="212">
        <v>16856.957270866256</v>
      </c>
      <c r="E82" s="212">
        <v>15871.152679706163</v>
      </c>
      <c r="F82" s="212">
        <v>-985.804591160093</v>
      </c>
      <c r="G82" s="212">
        <v>5328.506985449998</v>
      </c>
      <c r="H82" s="213">
        <v>-5.84805772073618</v>
      </c>
      <c r="I82" s="213">
        <v>82.05139862433228</v>
      </c>
      <c r="J82" s="213">
        <v>62.67412528625513</v>
      </c>
      <c r="K82" s="246">
        <v>50.5424078545395</v>
      </c>
      <c r="L82" s="55"/>
      <c r="M82" s="55"/>
      <c r="N82" s="55"/>
    </row>
    <row r="83" spans="2:11" ht="11.25">
      <c r="B83" s="113" t="s">
        <v>75</v>
      </c>
      <c r="C83" s="212">
        <v>30159.562802060278</v>
      </c>
      <c r="D83" s="212">
        <v>29889.169619681466</v>
      </c>
      <c r="E83" s="212">
        <v>29836.727819770284</v>
      </c>
      <c r="F83" s="212">
        <v>-52.4417999111829</v>
      </c>
      <c r="G83" s="212">
        <v>-322.8349822899945</v>
      </c>
      <c r="H83" s="213">
        <v>-0.17545418818410713</v>
      </c>
      <c r="I83" s="213">
        <v>6.124282222489841</v>
      </c>
      <c r="J83" s="213">
        <v>3.1671065674200527</v>
      </c>
      <c r="K83" s="246">
        <v>-1.0704232830190175</v>
      </c>
    </row>
    <row r="84" spans="2:11" ht="11.25">
      <c r="B84" s="115" t="s">
        <v>164</v>
      </c>
      <c r="C84" s="214">
        <v>-3460.7502438397255</v>
      </c>
      <c r="D84" s="214">
        <v>-6717.882551678535</v>
      </c>
      <c r="E84" s="214">
        <v>-6901.506713419723</v>
      </c>
      <c r="F84" s="214">
        <v>-183.6241617411888</v>
      </c>
      <c r="G84" s="214">
        <v>-3440.756469579998</v>
      </c>
      <c r="H84" s="215">
        <v>2.7333636801272796</v>
      </c>
      <c r="I84" s="215">
        <v>105.09358275510907</v>
      </c>
      <c r="J84" s="215">
        <v>83.01625894410056</v>
      </c>
      <c r="K84" s="247">
        <v>99.4222705237017</v>
      </c>
    </row>
    <row r="85" spans="2:11" ht="11.25">
      <c r="B85" s="115" t="s">
        <v>165</v>
      </c>
      <c r="C85" s="214">
        <v>33620.3130459</v>
      </c>
      <c r="D85" s="214">
        <v>36607.05217136</v>
      </c>
      <c r="E85" s="214">
        <v>36738.23453319001</v>
      </c>
      <c r="F85" s="214">
        <v>131.18236183000408</v>
      </c>
      <c r="G85" s="214">
        <v>3117.9214872900047</v>
      </c>
      <c r="H85" s="215">
        <v>0.35835270541842834</v>
      </c>
      <c r="I85" s="215">
        <v>13.048906018478746</v>
      </c>
      <c r="J85" s="215">
        <v>12.146208024618076</v>
      </c>
      <c r="K85" s="247">
        <v>9.273921640864181</v>
      </c>
    </row>
    <row r="86" spans="2:11" ht="11.25">
      <c r="B86" s="253" t="s">
        <v>50</v>
      </c>
      <c r="C86" s="214">
        <v>2874.63608935</v>
      </c>
      <c r="D86" s="214">
        <v>2567.9314860599998</v>
      </c>
      <c r="E86" s="214">
        <v>2520.1412598499996</v>
      </c>
      <c r="F86" s="214">
        <v>-47.79022621000013</v>
      </c>
      <c r="G86" s="214">
        <v>-354.4948295000004</v>
      </c>
      <c r="H86" s="215">
        <v>-1.8610397695354834</v>
      </c>
      <c r="I86" s="215">
        <v>10.966112310282018</v>
      </c>
      <c r="J86" s="215">
        <v>5.663294614915637</v>
      </c>
      <c r="K86" s="247">
        <v>-12.331815871001506</v>
      </c>
    </row>
    <row r="87" spans="2:11" ht="11.25">
      <c r="B87" s="253" t="s">
        <v>166</v>
      </c>
      <c r="C87" s="214">
        <v>26.272</v>
      </c>
      <c r="D87" s="214">
        <v>89.38140946</v>
      </c>
      <c r="E87" s="214">
        <v>78.23304601000001</v>
      </c>
      <c r="F87" s="214">
        <v>-11.14836344999999</v>
      </c>
      <c r="G87" s="214">
        <v>51.96104601000001</v>
      </c>
      <c r="H87" s="215">
        <v>-12.472798893363962</v>
      </c>
      <c r="I87" s="215">
        <v>82.77728983543938</v>
      </c>
      <c r="J87" s="215">
        <v>260.4379766916687</v>
      </c>
      <c r="K87" s="247">
        <v>197.7810825593789</v>
      </c>
    </row>
    <row r="88" spans="2:11" ht="11.25">
      <c r="B88" s="253" t="s">
        <v>167</v>
      </c>
      <c r="C88" s="214">
        <v>259.15700000000004</v>
      </c>
      <c r="D88" s="214">
        <v>546.67425839</v>
      </c>
      <c r="E88" s="214">
        <v>524.13633568</v>
      </c>
      <c r="F88" s="214">
        <v>-22.537922709999975</v>
      </c>
      <c r="G88" s="214">
        <v>264.97933567999996</v>
      </c>
      <c r="H88" s="215">
        <v>-4.12273348600243</v>
      </c>
      <c r="I88" s="215">
        <v>183.77473664307314</v>
      </c>
      <c r="J88" s="215">
        <v>152.36089186332075</v>
      </c>
      <c r="K88" s="247">
        <v>102.24664418865781</v>
      </c>
    </row>
    <row r="89" spans="2:11" ht="11.25">
      <c r="B89" s="253" t="s">
        <v>145</v>
      </c>
      <c r="C89" s="214">
        <v>10292.84249227</v>
      </c>
      <c r="D89" s="214">
        <v>11301.75741016</v>
      </c>
      <c r="E89" s="214">
        <v>11691.20542326</v>
      </c>
      <c r="F89" s="214">
        <v>389.4480131</v>
      </c>
      <c r="G89" s="214">
        <v>1398.3629309900007</v>
      </c>
      <c r="H89" s="215">
        <v>3.445906675982055</v>
      </c>
      <c r="I89" s="215">
        <v>12.457248685971688</v>
      </c>
      <c r="J89" s="215">
        <v>12.223004929294845</v>
      </c>
      <c r="K89" s="247">
        <v>13.585779944074549</v>
      </c>
    </row>
    <row r="90" spans="2:11" ht="11.25">
      <c r="B90" s="253" t="s">
        <v>51</v>
      </c>
      <c r="C90" s="214">
        <v>20167.405464280004</v>
      </c>
      <c r="D90" s="214">
        <v>22096.45460729</v>
      </c>
      <c r="E90" s="214">
        <v>21919.665468390005</v>
      </c>
      <c r="F90" s="214">
        <v>-176.78913889999603</v>
      </c>
      <c r="G90" s="214">
        <v>1752.2600041100013</v>
      </c>
      <c r="H90" s="215">
        <v>-0.8000792074655735</v>
      </c>
      <c r="I90" s="215">
        <v>11.415654811187892</v>
      </c>
      <c r="J90" s="215">
        <v>11.038941554265636</v>
      </c>
      <c r="K90" s="247">
        <v>8.688574279986394</v>
      </c>
    </row>
    <row r="91" spans="2:11" ht="11.25">
      <c r="B91" s="253" t="s">
        <v>160</v>
      </c>
      <c r="C91" s="214">
        <v>0</v>
      </c>
      <c r="D91" s="214">
        <v>4.853</v>
      </c>
      <c r="E91" s="214">
        <v>4.853</v>
      </c>
      <c r="F91" s="214">
        <v>0</v>
      </c>
      <c r="G91" s="214">
        <v>4.853</v>
      </c>
      <c r="H91" s="215">
        <v>0</v>
      </c>
      <c r="I91" s="215">
        <v>0</v>
      </c>
      <c r="J91" s="215">
        <v>0</v>
      </c>
      <c r="K91" s="247">
        <v>0</v>
      </c>
    </row>
    <row r="92" spans="2:14" ht="11.25">
      <c r="B92" s="112" t="s">
        <v>168</v>
      </c>
      <c r="C92" s="214">
        <v>2058.82246297</v>
      </c>
      <c r="D92" s="214">
        <v>2290.8889254869864</v>
      </c>
      <c r="E92" s="214">
        <v>2439.3569550199995</v>
      </c>
      <c r="F92" s="214">
        <v>148.46802953301312</v>
      </c>
      <c r="G92" s="214">
        <v>380.5344920499997</v>
      </c>
      <c r="H92" s="215">
        <v>6.480804367302639</v>
      </c>
      <c r="I92" s="215">
        <v>9.97042003853268</v>
      </c>
      <c r="J92" s="215">
        <v>12.322657557973615</v>
      </c>
      <c r="K92" s="247">
        <v>18.48311347356544</v>
      </c>
      <c r="L92" s="55"/>
      <c r="M92" s="55"/>
      <c r="N92" s="55"/>
    </row>
    <row r="93" spans="2:11" ht="11.25">
      <c r="B93" s="112"/>
      <c r="C93" s="214"/>
      <c r="D93" s="214"/>
      <c r="E93" s="214"/>
      <c r="F93" s="212"/>
      <c r="G93" s="212"/>
      <c r="H93" s="213"/>
      <c r="I93" s="213"/>
      <c r="J93" s="213"/>
      <c r="K93" s="246"/>
    </row>
    <row r="94" spans="2:14" ht="11.25">
      <c r="B94" s="113" t="s">
        <v>62</v>
      </c>
      <c r="C94" s="212">
        <v>42761.04797624781</v>
      </c>
      <c r="D94" s="212">
        <v>49037.060417953784</v>
      </c>
      <c r="E94" s="212">
        <v>48147.24965944835</v>
      </c>
      <c r="F94" s="212">
        <v>-889.8107585054313</v>
      </c>
      <c r="G94" s="212">
        <v>5386.201683200539</v>
      </c>
      <c r="H94" s="213">
        <v>-1.8145679021568095</v>
      </c>
      <c r="I94" s="213">
        <v>20.54425011215133</v>
      </c>
      <c r="J94" s="213">
        <v>18.522530788678626</v>
      </c>
      <c r="K94" s="246">
        <v>12.596046958887408</v>
      </c>
      <c r="L94" s="55"/>
      <c r="M94" s="55"/>
      <c r="N94" s="55"/>
    </row>
    <row r="95" spans="2:11" ht="11.25">
      <c r="B95" s="113" t="s">
        <v>76</v>
      </c>
      <c r="C95" s="212">
        <v>27715.35181879822</v>
      </c>
      <c r="D95" s="212">
        <v>29893.491390894793</v>
      </c>
      <c r="E95" s="212">
        <v>29368.384548912996</v>
      </c>
      <c r="F95" s="212">
        <v>-525.1068419817966</v>
      </c>
      <c r="G95" s="212">
        <v>1653.0327301147772</v>
      </c>
      <c r="H95" s="213">
        <v>-1.756592547572874</v>
      </c>
      <c r="I95" s="213">
        <v>17.866874085413322</v>
      </c>
      <c r="J95" s="213">
        <v>15.381148485475427</v>
      </c>
      <c r="K95" s="246">
        <v>5.964321654374927</v>
      </c>
    </row>
    <row r="96" spans="2:11" ht="11.25">
      <c r="B96" s="115" t="s">
        <v>53</v>
      </c>
      <c r="C96" s="214">
        <v>882.0477020199999</v>
      </c>
      <c r="D96" s="214">
        <v>1217.6153437899998</v>
      </c>
      <c r="E96" s="214">
        <v>1264.5339936847818</v>
      </c>
      <c r="F96" s="214">
        <v>46.91864989478199</v>
      </c>
      <c r="G96" s="214">
        <v>382.4862916647819</v>
      </c>
      <c r="H96" s="215">
        <v>3.8533228194005065</v>
      </c>
      <c r="I96" s="215">
        <v>39.0189177996435</v>
      </c>
      <c r="J96" s="215">
        <v>55.6110239599751</v>
      </c>
      <c r="K96" s="247">
        <v>43.36344744040943</v>
      </c>
    </row>
    <row r="97" spans="2:11" ht="11.25">
      <c r="B97" s="115" t="s">
        <v>54</v>
      </c>
      <c r="C97" s="214">
        <v>16645.35352829276</v>
      </c>
      <c r="D97" s="214">
        <v>17746.244522070432</v>
      </c>
      <c r="E97" s="214">
        <v>17683.793264852757</v>
      </c>
      <c r="F97" s="214">
        <v>-62.45125721767545</v>
      </c>
      <c r="G97" s="214">
        <v>1038.439736559998</v>
      </c>
      <c r="H97" s="215">
        <v>-0.35191252515430427</v>
      </c>
      <c r="I97" s="215">
        <v>26.16027365932503</v>
      </c>
      <c r="J97" s="215">
        <v>20.49149901859777</v>
      </c>
      <c r="K97" s="247">
        <v>6.238616288893595</v>
      </c>
    </row>
    <row r="98" spans="2:13" ht="11.25">
      <c r="B98" s="115" t="s">
        <v>55</v>
      </c>
      <c r="C98" s="214">
        <v>10184.02568739</v>
      </c>
      <c r="D98" s="214">
        <v>10925.73056679</v>
      </c>
      <c r="E98" s="214">
        <v>10416.13238928</v>
      </c>
      <c r="F98" s="214">
        <v>-509.5981775100008</v>
      </c>
      <c r="G98" s="214">
        <v>232.10670188999939</v>
      </c>
      <c r="H98" s="215">
        <v>-4.664202310269141</v>
      </c>
      <c r="I98" s="215">
        <v>4.920324942701626</v>
      </c>
      <c r="J98" s="215">
        <v>5.138054889636567</v>
      </c>
      <c r="K98" s="247">
        <v>2.2791252596445988</v>
      </c>
      <c r="L98" s="55"/>
      <c r="M98" s="55"/>
    </row>
    <row r="99" spans="2:11" ht="11.25">
      <c r="B99" s="115" t="s">
        <v>112</v>
      </c>
      <c r="C99" s="214">
        <v>3.924901095460822</v>
      </c>
      <c r="D99" s="214">
        <v>3.9009582443606554</v>
      </c>
      <c r="E99" s="214">
        <v>3.924901095460822</v>
      </c>
      <c r="F99" s="214">
        <v>0.023942851100166695</v>
      </c>
      <c r="G99" s="214">
        <v>0</v>
      </c>
      <c r="H99" s="215">
        <v>0.6137684538095022</v>
      </c>
      <c r="I99" s="215">
        <v>-34.87453239696786</v>
      </c>
      <c r="J99" s="215">
        <v>-34.87453239696786</v>
      </c>
      <c r="K99" s="247">
        <v>0</v>
      </c>
    </row>
    <row r="100" spans="2:14" ht="11.25">
      <c r="B100" s="112" t="s">
        <v>102</v>
      </c>
      <c r="C100" s="214">
        <v>15049.62105854505</v>
      </c>
      <c r="D100" s="214">
        <v>19147.46998530335</v>
      </c>
      <c r="E100" s="214">
        <v>18782.790011630816</v>
      </c>
      <c r="F100" s="214">
        <v>-364.6799736725334</v>
      </c>
      <c r="G100" s="214">
        <v>3733.1689530857657</v>
      </c>
      <c r="H100" s="215">
        <v>-1.9045856917516713</v>
      </c>
      <c r="I100" s="215">
        <v>24.915973633371678</v>
      </c>
      <c r="J100" s="215">
        <v>23.762518214167727</v>
      </c>
      <c r="K100" s="247">
        <v>24.805733902290527</v>
      </c>
      <c r="N100" s="55"/>
    </row>
    <row r="101" spans="2:11" ht="12" thickBot="1">
      <c r="B101" s="172"/>
      <c r="C101" s="222"/>
      <c r="D101" s="222"/>
      <c r="E101" s="222"/>
      <c r="F101" s="223"/>
      <c r="G101" s="223"/>
      <c r="H101" s="224"/>
      <c r="I101" s="224"/>
      <c r="J101" s="224"/>
      <c r="K101" s="248"/>
    </row>
    <row r="102" spans="2:13" ht="12" customHeight="1" hidden="1" thickBot="1">
      <c r="B102" s="39" t="s">
        <v>77</v>
      </c>
      <c r="C102" s="216">
        <v>-0.02241342821798753</v>
      </c>
      <c r="D102" s="216">
        <v>-0.04190398721402744</v>
      </c>
      <c r="E102" s="216">
        <v>-0.017016961370245554</v>
      </c>
      <c r="F102" s="216">
        <v>0.024887025843781885</v>
      </c>
      <c r="G102" s="216">
        <v>0.005396466847741976</v>
      </c>
      <c r="H102" s="216">
        <v>6.314336995538739E-05</v>
      </c>
      <c r="I102" s="216">
        <v>-0.00017943695699784712</v>
      </c>
      <c r="J102" s="216">
        <v>-0.00017625866459880513</v>
      </c>
      <c r="K102" s="216">
        <v>2.6387598804689105E-05</v>
      </c>
      <c r="L102" s="55"/>
      <c r="M102" s="55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Mally Likukela</cp:lastModifiedBy>
  <cp:lastPrinted>2009-04-15T14:20:42Z</cp:lastPrinted>
  <dcterms:created xsi:type="dcterms:W3CDTF">1999-07-02T10:21:54Z</dcterms:created>
  <dcterms:modified xsi:type="dcterms:W3CDTF">2009-04-16T06:10:12Z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