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'S3'!$A$4:$R$86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<sst xmlns="http://schemas.openxmlformats.org/spreadsheetml/2006/main" count="288" uniqueCount="181">
  <si>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</si>
  <si>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</si>
  <si>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</si>
  <si>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</si>
  <si>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</si>
  <si>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</si>
  <si>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</si>
  <si>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</si>
  <si>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</si>
  <si>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</si>
  <si>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</si>
  <si>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</si>
  <si>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</si>
  <si>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</si>
  <si>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</si>
  <si>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</si>
  <si>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</si>
  <si>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</si>
  <si>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</si>
  <si>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</si>
  <si>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</si>
  <si>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</si>
  <si>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</si>
  <si>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</si>
  <si>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</si>
  <si>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</si>
  <si>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</si>
  <si>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</si>
  <si>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</si>
  <si>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</si>
  <si>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</si>
  <si>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</si>
  <si>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</si>
  <si>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</si>
  <si>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</si>
  <si>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</si>
  <si>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</si>
  <si>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</si>
  <si>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</si>
  <si>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</si>
  <si>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</si>
  <si>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</si>
  <si>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</si>
  <si>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</si>
  <si>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</si>
  <si>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</si>
  <si>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</si>
  <si>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</si>
  <si>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</si>
  <si>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</si>
  <si>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</si>
  <si>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</si>
  <si>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</si>
  <si>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</si>
  <si>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</si>
  <si>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</si>
  <si>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</si>
  <si>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</si>
  <si>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</si>
  <si>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</si>
  <si>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</si>
  <si>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</si>
  <si>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</si>
  <si>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</si>
  <si>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</si>
  <si>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</si>
  <si>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</si>
  <si>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</si>
  <si>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</si>
  <si>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</si>
  <si>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</si>
  <si>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</si>
  <si>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</si>
  <si>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</si>
  <si>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</si>
  <si>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</si>
  <si>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</si>
  <si>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</si>
  <si>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</si>
  <si>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</si>
  <si>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</si>
  <si>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</si>
  <si>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</si>
  <si>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</si>
  <si>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</si>
  <si>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</si>
  <si>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</si>
  <si>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</si>
  <si>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</si>
  <si>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</si>
  <si>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</si>
  <si>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</si>
  <si>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</si>
  <si>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</si>
  <si>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</si>
  <si>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</si>
  <si>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</si>
  <si>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</si>
  <si>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</si>
  <si>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</si>
  <si>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</si>
  <si>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</si>
  <si>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</si>
  <si>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</si>
  <si>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</si>
  <si>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</si>
  <si>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</si>
  <si>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</si>
  <si>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</si>
  <si>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</si>
  <si>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</si>
  <si>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</si>
  <si>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</si>
  <si>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</si>
  <si>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</si>
  <si>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</si>
  <si>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</si>
  <si>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</si>
  <si>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</si>
  <si>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</si>
  <si>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</si>
  <si>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</si>
  <si>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</si>
  <si>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</si>
  <si>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</si>
  <si>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</si>
  <si>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</si>
  <si>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</si>
  <si>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</si>
  <si>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</si>
  <si>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</si>
  <si>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</si>
  <si>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</si>
  <si>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</si>
  <si>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</si>
  <si>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</si>
  <si>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</si>
  <si>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</si>
  <si>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</si>
  <si>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</si>
  <si>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</si>
  <si>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</si>
  <si>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</si>
  <si>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</si>
  <si>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</si>
  <si>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</si>
  <si>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</si>
  <si>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</si>
  <si>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</si>
  <si>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</si>
  <si>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</si>
  <si>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</si>
  <si>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</si>
  <si>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</si>
  <si>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</si>
  <si>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</si>
  <si>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</si>
  <si>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</si>
  <si>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</si>
  <si>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</si>
  <si>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</si>
  <si>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</si>
  <si>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</si>
  <si>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</si>
  <si>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</si>
  <si>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</si>
  <si>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</si>
  <si>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 xml:space="preserve">        U.S Dollar/Namibia Dollar exchange rate</t>
  </si>
  <si>
    <t>Claims on the Other sectors*  by the Other Depository Corporations (N$ million)</t>
  </si>
  <si>
    <t xml:space="preserve"> Monthly</t>
  </si>
  <si>
    <t>Domestic and other sectors claims (month-on-month  percentage changes)</t>
  </si>
  <si>
    <t>*** Not issued in April</t>
  </si>
  <si>
    <t>182-Day Treasury Bills**</t>
  </si>
  <si>
    <t>J</t>
  </si>
  <si>
    <t>F</t>
  </si>
  <si>
    <t>M</t>
  </si>
  <si>
    <t>A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</si>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</sst>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b/>
      <sz val="8"/>
      <color indexed="9"/>
      <name val="Univers"/>
      <family val="0"/>
    </font>
    <font>
      <sz val="9"/>
      <name val="Univers"/>
      <family val="0"/>
    </font>
    <font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  <font>
      <b/>
      <sz val="8"/>
      <color theme="0"/>
      <name val="Arial"/>
      <family val="2"/>
    </font>
    <font>
      <b/>
      <sz val="8"/>
      <color theme="0"/>
      <name val="Univer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0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1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2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0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45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0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100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101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43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6" xfId="0" applyNumberFormat="1" applyFont="1" applyFill="1" applyBorder="1" applyAlignment="1">
      <alignment/>
    </xf>
    <xf numFmtId="175" fontId="13" fillId="33" borderId="2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2" fillId="35" borderId="15" xfId="0" applyNumberFormat="1" applyFont="1" applyFill="1" applyBorder="1" applyAlignment="1">
      <alignment/>
    </xf>
    <xf numFmtId="176" fontId="102" fillId="35" borderId="15" xfId="42" applyNumberFormat="1" applyFont="1" applyFill="1" applyBorder="1" applyAlignment="1">
      <alignment horizontal="right"/>
    </xf>
    <xf numFmtId="43" fontId="102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2" fillId="35" borderId="15" xfId="0" applyNumberFormat="1" applyFont="1" applyFill="1" applyBorder="1" applyAlignment="1">
      <alignment horizontal="right"/>
    </xf>
    <xf numFmtId="175" fontId="102" fillId="35" borderId="15" xfId="42" applyNumberFormat="1" applyFont="1" applyFill="1" applyBorder="1" applyAlignment="1">
      <alignment horizontal="right"/>
    </xf>
    <xf numFmtId="2" fontId="102" fillId="35" borderId="15" xfId="42" applyNumberFormat="1" applyFont="1" applyFill="1" applyBorder="1" applyAlignment="1">
      <alignment horizontal="right"/>
    </xf>
    <xf numFmtId="43" fontId="102" fillId="35" borderId="15" xfId="42" applyFont="1" applyFill="1" applyBorder="1" applyAlignment="1">
      <alignment horizontal="right"/>
    </xf>
    <xf numFmtId="4" fontId="102" fillId="35" borderId="15" xfId="42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43" fontId="102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80" fontId="102" fillId="35" borderId="15" xfId="0" applyNumberFormat="1" applyFont="1" applyFill="1" applyBorder="1" applyAlignment="1">
      <alignment/>
    </xf>
    <xf numFmtId="180" fontId="102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2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2" fillId="40" borderId="15" xfId="0" applyFont="1" applyFill="1" applyBorder="1" applyAlignment="1">
      <alignment/>
    </xf>
    <xf numFmtId="0" fontId="55" fillId="0" borderId="22" xfId="0" applyFont="1" applyBorder="1" applyAlignment="1">
      <alignment horizontal="left"/>
    </xf>
    <xf numFmtId="0" fontId="8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4" fillId="34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2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7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7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7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2" xfId="0" applyNumberFormat="1" applyFont="1" applyFill="1" applyBorder="1" applyAlignment="1">
      <alignment horizontal="right"/>
    </xf>
    <xf numFmtId="2" fontId="9" fillId="32" borderId="15" xfId="0" applyNumberFormat="1" applyFont="1" applyFill="1" applyBorder="1" applyAlignment="1">
      <alignment horizontal="right"/>
    </xf>
    <xf numFmtId="0" fontId="36" fillId="41" borderId="18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2" fontId="9" fillId="35" borderId="15" xfId="42" applyNumberFormat="1" applyFont="1" applyFill="1" applyBorder="1" applyAlignment="1">
      <alignment horizontal="right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0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05" fillId="41" borderId="41" xfId="0" applyFont="1" applyFill="1" applyBorder="1" applyAlignment="1">
      <alignment horizontal="center"/>
    </xf>
    <xf numFmtId="0" fontId="106" fillId="41" borderId="18" xfId="0" applyFont="1" applyFill="1" applyBorder="1" applyAlignment="1">
      <alignment horizontal="center"/>
    </xf>
    <xf numFmtId="0" fontId="106" fillId="41" borderId="42" xfId="0" applyFont="1" applyFill="1" applyBorder="1" applyAlignment="1">
      <alignment horizontal="center"/>
    </xf>
    <xf numFmtId="0" fontId="105" fillId="41" borderId="18" xfId="0" applyFont="1" applyFill="1" applyBorder="1" applyAlignment="1">
      <alignment horizontal="center"/>
    </xf>
    <xf numFmtId="0" fontId="105" fillId="41" borderId="4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45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81" fillId="0" borderId="0" xfId="0" applyFont="1" applyBorder="1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1425"/>
          <c:w val="0.94475"/>
          <c:h val="0.954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'S6'!$BJ$3:$CL$4</c:f>
              <c:multiLvlStrCache>
                <c:ptCount val="2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'S6'!$BJ$13:$CL$13</c:f>
              <c:numCache>
                <c:ptCount val="29"/>
                <c:pt idx="0">
                  <c:v>0.1431208942193471</c:v>
                </c:pt>
                <c:pt idx="1">
                  <c:v>0.13091404184012775</c:v>
                </c:pt>
                <c:pt idx="2">
                  <c:v>0.1253148535695936</c:v>
                </c:pt>
                <c:pt idx="3">
                  <c:v>0.1283153477987502</c:v>
                </c:pt>
                <c:pt idx="4">
                  <c:v>0.13116818384532647</c:v>
                </c:pt>
                <c:pt idx="5">
                  <c:v>0.12628175986260545</c:v>
                </c:pt>
                <c:pt idx="6">
                  <c:v>0.13090204599897895</c:v>
                </c:pt>
                <c:pt idx="7">
                  <c:v>0.1305858079343937</c:v>
                </c:pt>
                <c:pt idx="8">
                  <c:v>0.12426682572820359</c:v>
                </c:pt>
                <c:pt idx="9">
                  <c:v>0.10339657757328233</c:v>
                </c:pt>
                <c:pt idx="10">
                  <c:v>0.09883669213358769</c:v>
                </c:pt>
                <c:pt idx="11">
                  <c:v>0.10054697554697554</c:v>
                </c:pt>
                <c:pt idx="12">
                  <c:v>0.1010407194099222</c:v>
                </c:pt>
                <c:pt idx="13">
                  <c:v>0.09994003597841294</c:v>
                </c:pt>
                <c:pt idx="14">
                  <c:v>0.1000680462714646</c:v>
                </c:pt>
                <c:pt idx="15">
                  <c:v>0.11088933244621867</c:v>
                </c:pt>
                <c:pt idx="16">
                  <c:v>0.11944149158534693</c:v>
                </c:pt>
                <c:pt idx="17">
                  <c:v>0.12419583198787848</c:v>
                </c:pt>
                <c:pt idx="18">
                  <c:v>0.12576559807830168</c:v>
                </c:pt>
                <c:pt idx="19">
                  <c:v>0.12592079581942958</c:v>
                </c:pt>
                <c:pt idx="20">
                  <c:v>0.1329168605037549</c:v>
                </c:pt>
                <c:pt idx="21">
                  <c:v>0.1329168605037549</c:v>
                </c:pt>
                <c:pt idx="22">
                  <c:v>0.1329168605037549</c:v>
                </c:pt>
                <c:pt idx="23">
                  <c:v>0.13352204448954522</c:v>
                </c:pt>
                <c:pt idx="24">
                  <c:v>0.13417955908596885</c:v>
                </c:pt>
                <c:pt idx="25">
                  <c:v>0.1289</c:v>
                </c:pt>
                <c:pt idx="26">
                  <c:v>0.1347</c:v>
                </c:pt>
                <c:pt idx="27">
                  <c:v>0.1362</c:v>
                </c:pt>
                <c:pt idx="28">
                  <c:v>0.13100665513808102</c:v>
                </c:pt>
              </c:numCache>
            </c:numRef>
          </c:val>
          <c:smooth val="1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0.08900000000000005"/>
        <c:auto val="1"/>
        <c:lblOffset val="100"/>
        <c:tickLblSkip val="1"/>
        <c:noMultiLvlLbl val="0"/>
      </c:catAx>
      <c:valAx>
        <c:axId val="44368095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9</xdr:row>
      <xdr:rowOff>133350</xdr:rowOff>
    </xdr:from>
    <xdr:to>
      <xdr:col>14</xdr:col>
      <xdr:colOff>152400</xdr:colOff>
      <xdr:row>28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828800"/>
          <a:ext cx="79819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35</xdr:row>
      <xdr:rowOff>190500</xdr:rowOff>
    </xdr:from>
    <xdr:to>
      <xdr:col>14</xdr:col>
      <xdr:colOff>276225</xdr:colOff>
      <xdr:row>55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6848475"/>
          <a:ext cx="81057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</xdr:row>
      <xdr:rowOff>238125</xdr:rowOff>
    </xdr:from>
    <xdr:to>
      <xdr:col>13</xdr:col>
      <xdr:colOff>371475</xdr:colOff>
      <xdr:row>26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3450"/>
          <a:ext cx="76866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39</xdr:row>
      <xdr:rowOff>0</xdr:rowOff>
    </xdr:from>
    <xdr:to>
      <xdr:col>13</xdr:col>
      <xdr:colOff>228600</xdr:colOff>
      <xdr:row>63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505575"/>
          <a:ext cx="75914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142875</xdr:rowOff>
    </xdr:from>
    <xdr:to>
      <xdr:col>12</xdr:col>
      <xdr:colOff>314325</xdr:colOff>
      <xdr:row>19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0"/>
          <a:ext cx="70199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12</xdr:col>
      <xdr:colOff>352425</xdr:colOff>
      <xdr:row>39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686300"/>
          <a:ext cx="70580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46</xdr:row>
      <xdr:rowOff>0</xdr:rowOff>
    </xdr:from>
    <xdr:to>
      <xdr:col>12</xdr:col>
      <xdr:colOff>438150</xdr:colOff>
      <xdr:row>64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763000"/>
          <a:ext cx="71437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28</xdr:row>
      <xdr:rowOff>161925</xdr:rowOff>
    </xdr:from>
    <xdr:to>
      <xdr:col>12</xdr:col>
      <xdr:colOff>171450</xdr:colOff>
      <xdr:row>47</xdr:row>
      <xdr:rowOff>76200</xdr:rowOff>
    </xdr:to>
    <xdr:graphicFrame>
      <xdr:nvGraphicFramePr>
        <xdr:cNvPr id="1" name="Chart 9"/>
        <xdr:cNvGraphicFramePr/>
      </xdr:nvGraphicFramePr>
      <xdr:xfrm>
        <a:off x="600075" y="4772025"/>
        <a:ext cx="6858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533400</xdr:colOff>
      <xdr:row>5</xdr:row>
      <xdr:rowOff>38100</xdr:rowOff>
    </xdr:from>
    <xdr:to>
      <xdr:col>12</xdr:col>
      <xdr:colOff>19050</xdr:colOff>
      <xdr:row>23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85825"/>
          <a:ext cx="67722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99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0"/>
    </row>
    <row r="11" ht="40.5">
      <c r="A11" s="27"/>
    </row>
    <row r="12" ht="40.5">
      <c r="A12" s="27"/>
    </row>
    <row r="13" ht="40.5">
      <c r="A13" s="27" t="s">
        <v>43</v>
      </c>
    </row>
    <row r="14" ht="40.5">
      <c r="A14" s="27"/>
    </row>
    <row r="15" ht="40.5">
      <c r="A15" s="27" t="s">
        <v>44</v>
      </c>
    </row>
    <row r="16" ht="40.5">
      <c r="A16" s="27"/>
    </row>
    <row r="17" ht="40.5">
      <c r="A17" s="27" t="s">
        <v>45</v>
      </c>
    </row>
    <row r="18" ht="40.5">
      <c r="A18" s="27"/>
    </row>
    <row r="19" ht="40.5">
      <c r="A19" s="29">
        <v>40299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B21" sqref="B21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99" t="s">
        <v>74</v>
      </c>
      <c r="C2" s="300"/>
      <c r="D2" s="300"/>
      <c r="E2" s="300"/>
      <c r="F2" s="300"/>
      <c r="G2" s="300"/>
      <c r="H2" s="300"/>
      <c r="I2" s="300"/>
      <c r="J2" s="300"/>
      <c r="K2" s="300"/>
      <c r="L2" s="197"/>
    </row>
    <row r="3" spans="2:12" ht="11.25">
      <c r="B3" s="298" t="s">
        <v>115</v>
      </c>
      <c r="C3" s="298"/>
      <c r="D3" s="298"/>
      <c r="E3" s="298"/>
      <c r="F3" s="298"/>
      <c r="G3" s="298"/>
      <c r="H3" s="298"/>
      <c r="I3" s="298"/>
      <c r="J3" s="298"/>
      <c r="K3" s="298"/>
      <c r="L3" s="200"/>
    </row>
    <row r="4" spans="2:12" ht="11.25">
      <c r="B4" s="69"/>
      <c r="C4" s="22"/>
      <c r="D4" s="22"/>
      <c r="E4" s="22"/>
      <c r="F4" s="301" t="s">
        <v>106</v>
      </c>
      <c r="G4" s="303"/>
      <c r="H4" s="127" t="s">
        <v>125</v>
      </c>
      <c r="I4" s="301" t="s">
        <v>160</v>
      </c>
      <c r="J4" s="302"/>
      <c r="K4" s="303"/>
      <c r="L4" s="200" t="s">
        <v>161</v>
      </c>
    </row>
    <row r="5" spans="2:12" ht="11.25">
      <c r="B5" s="70"/>
      <c r="C5" s="12">
        <v>39934</v>
      </c>
      <c r="D5" s="12">
        <v>40292</v>
      </c>
      <c r="E5" s="12">
        <v>40324</v>
      </c>
      <c r="F5" s="12" t="s">
        <v>155</v>
      </c>
      <c r="G5" s="58" t="s">
        <v>156</v>
      </c>
      <c r="H5" s="58" t="s">
        <v>169</v>
      </c>
      <c r="I5" s="12">
        <v>39873</v>
      </c>
      <c r="J5" s="12">
        <v>40269</v>
      </c>
      <c r="K5" s="12">
        <v>40210</v>
      </c>
      <c r="L5" s="12">
        <v>40299</v>
      </c>
    </row>
    <row r="6" spans="2:12" ht="11.25">
      <c r="B6" s="71"/>
      <c r="C6" s="137"/>
      <c r="D6" s="137"/>
      <c r="E6" s="137"/>
      <c r="F6" s="138"/>
      <c r="G6" s="138"/>
      <c r="H6" s="138"/>
      <c r="I6" s="134"/>
      <c r="J6" s="134"/>
      <c r="K6" s="134"/>
      <c r="L6" s="271"/>
    </row>
    <row r="7" spans="2:14" ht="11.25">
      <c r="B7" s="72" t="s">
        <v>1</v>
      </c>
      <c r="C7" s="38">
        <v>15640.551090142846</v>
      </c>
      <c r="D7" s="132">
        <v>16711.55743794</v>
      </c>
      <c r="E7" s="132">
        <v>16486.68630679044</v>
      </c>
      <c r="F7" s="38">
        <v>-224.8711311495572</v>
      </c>
      <c r="G7" s="132">
        <v>846.1352166475954</v>
      </c>
      <c r="H7" s="132">
        <v>-1.3456024789110057</v>
      </c>
      <c r="I7" s="132">
        <v>8.303248021697996</v>
      </c>
      <c r="J7" s="132">
        <v>1.2884409003082409</v>
      </c>
      <c r="K7" s="132">
        <v>8.558327054715242</v>
      </c>
      <c r="L7" s="272">
        <v>5.409881095435676</v>
      </c>
      <c r="N7" s="53"/>
    </row>
    <row r="8" spans="2:12" ht="11.25">
      <c r="B8" s="72" t="s">
        <v>71</v>
      </c>
      <c r="C8" s="38">
        <v>30200.28579566491</v>
      </c>
      <c r="D8" s="132">
        <v>35948.393052140025</v>
      </c>
      <c r="E8" s="132">
        <v>36564.06075729016</v>
      </c>
      <c r="F8" s="266">
        <v>615.667705150132</v>
      </c>
      <c r="G8" s="140">
        <v>6363.774961625248</v>
      </c>
      <c r="H8" s="132">
        <v>1.7126431889658025</v>
      </c>
      <c r="I8" s="132">
        <v>12.580279788740878</v>
      </c>
      <c r="J8" s="132">
        <v>20.376696522013283</v>
      </c>
      <c r="K8" s="132">
        <v>12.270879633017252</v>
      </c>
      <c r="L8" s="272">
        <v>21.07190310940281</v>
      </c>
    </row>
    <row r="9" spans="2:12" ht="11.25">
      <c r="B9" s="74" t="s">
        <v>134</v>
      </c>
      <c r="C9" s="267">
        <v>-7601.8353553150955</v>
      </c>
      <c r="D9" s="133">
        <v>-4609.023761456298</v>
      </c>
      <c r="E9" s="133">
        <v>-3767.9597936763007</v>
      </c>
      <c r="F9" s="268">
        <v>841.0639677799977</v>
      </c>
      <c r="G9" s="136">
        <v>3833.875561638795</v>
      </c>
      <c r="H9" s="133">
        <v>-18.2482020338782</v>
      </c>
      <c r="I9" s="133">
        <v>-25.967100967368918</v>
      </c>
      <c r="J9" s="133">
        <v>-39.834476864355636</v>
      </c>
      <c r="K9" s="133">
        <v>-26.061059367617144</v>
      </c>
      <c r="L9" s="273">
        <v>-50.43355166799559</v>
      </c>
    </row>
    <row r="10" spans="2:12" ht="11.25">
      <c r="B10" s="74" t="s">
        <v>132</v>
      </c>
      <c r="C10" s="267">
        <v>37802.121150980005</v>
      </c>
      <c r="D10" s="133">
        <v>40557.41681359633</v>
      </c>
      <c r="E10" s="133">
        <v>40332.02055096646</v>
      </c>
      <c r="F10" s="268">
        <v>-225.39626262986712</v>
      </c>
      <c r="G10" s="136">
        <v>2529.8993999864542</v>
      </c>
      <c r="H10" s="133">
        <v>-0.5557461010542123</v>
      </c>
      <c r="I10" s="133">
        <v>6.846830628400391</v>
      </c>
      <c r="J10" s="133">
        <v>8.08444974557565</v>
      </c>
      <c r="K10" s="133">
        <v>6.569474786137364</v>
      </c>
      <c r="L10" s="273">
        <v>6.692480006299517</v>
      </c>
    </row>
    <row r="11" spans="2:12" ht="11.25">
      <c r="B11" s="75" t="s">
        <v>46</v>
      </c>
      <c r="C11" s="267">
        <v>2841.1685602199996</v>
      </c>
      <c r="D11" s="133">
        <v>2858.25381078</v>
      </c>
      <c r="E11" s="133">
        <v>2820.57289021</v>
      </c>
      <c r="F11" s="268">
        <v>-37.680920570000126</v>
      </c>
      <c r="G11" s="136">
        <v>-20.595670009999594</v>
      </c>
      <c r="H11" s="133">
        <v>-1.3183196127609547</v>
      </c>
      <c r="I11" s="133">
        <v>7.155031160771319</v>
      </c>
      <c r="J11" s="133">
        <v>3.9421424476035805</v>
      </c>
      <c r="K11" s="133">
        <v>7.155031160771319</v>
      </c>
      <c r="L11" s="273">
        <v>-0.7249013767914203</v>
      </c>
    </row>
    <row r="12" spans="2:12" ht="11.25">
      <c r="B12" s="75" t="s">
        <v>133</v>
      </c>
      <c r="C12" s="267">
        <v>83.05983872</v>
      </c>
      <c r="D12" s="133">
        <v>62.18415896999999</v>
      </c>
      <c r="E12" s="133">
        <v>57.40096336</v>
      </c>
      <c r="F12" s="268">
        <v>-4.783195609999993</v>
      </c>
      <c r="G12" s="136">
        <v>-25.658875360000003</v>
      </c>
      <c r="H12" s="133">
        <v>-7.691984082807308</v>
      </c>
      <c r="I12" s="133">
        <v>-68.0478843123756</v>
      </c>
      <c r="J12" s="133">
        <v>-10.613117009250118</v>
      </c>
      <c r="K12" s="133">
        <v>-68.0478843123756</v>
      </c>
      <c r="L12" s="273">
        <v>-30.892036097611154</v>
      </c>
    </row>
    <row r="13" spans="2:12" ht="11.25">
      <c r="B13" s="75" t="s">
        <v>135</v>
      </c>
      <c r="C13" s="267">
        <v>583.5316647399999</v>
      </c>
      <c r="D13" s="133">
        <v>430.70522315</v>
      </c>
      <c r="E13" s="133">
        <v>316.24713111999995</v>
      </c>
      <c r="F13" s="268">
        <v>-114.45809203000005</v>
      </c>
      <c r="G13" s="136">
        <v>-267.28453361999993</v>
      </c>
      <c r="H13" s="133">
        <v>-26.5745771999004</v>
      </c>
      <c r="I13" s="133">
        <v>-3.7342951012206638</v>
      </c>
      <c r="J13" s="133">
        <v>-15.748126460850564</v>
      </c>
      <c r="K13" s="133">
        <v>-3.7342951012206638</v>
      </c>
      <c r="L13" s="273">
        <v>-45.80463233971922</v>
      </c>
    </row>
    <row r="14" spans="2:12" ht="11.25">
      <c r="B14" s="75" t="s">
        <v>136</v>
      </c>
      <c r="C14" s="267">
        <v>11794.082651709998</v>
      </c>
      <c r="D14" s="133">
        <v>13346.58566157632</v>
      </c>
      <c r="E14" s="133">
        <v>13201.46550369645</v>
      </c>
      <c r="F14" s="268">
        <v>-145.12015787987002</v>
      </c>
      <c r="G14" s="136">
        <v>1407.3828519864528</v>
      </c>
      <c r="H14" s="133">
        <v>-1.0873204695164738</v>
      </c>
      <c r="I14" s="133">
        <v>9.611030942994581</v>
      </c>
      <c r="J14" s="133">
        <v>11.793747678790446</v>
      </c>
      <c r="K14" s="133">
        <v>9.611030942994581</v>
      </c>
      <c r="L14" s="273">
        <v>11.932957344354378</v>
      </c>
    </row>
    <row r="15" spans="2:14" ht="11.25">
      <c r="B15" s="75" t="s">
        <v>47</v>
      </c>
      <c r="C15" s="267">
        <v>22495.42543559</v>
      </c>
      <c r="D15" s="133">
        <v>23857.312959120005</v>
      </c>
      <c r="E15" s="133">
        <v>23933.767062580002</v>
      </c>
      <c r="F15" s="268">
        <v>76.45410345999699</v>
      </c>
      <c r="G15" s="136">
        <v>1438.3416269900008</v>
      </c>
      <c r="H15" s="133">
        <v>0.32046401701232097</v>
      </c>
      <c r="I15" s="133">
        <v>5.85301997096872</v>
      </c>
      <c r="J15" s="133">
        <v>7.225035496157828</v>
      </c>
      <c r="K15" s="133">
        <v>5.389859669613362</v>
      </c>
      <c r="L15" s="273">
        <v>6.393929428489042</v>
      </c>
      <c r="M15" s="51"/>
      <c r="N15" s="53"/>
    </row>
    <row r="16" spans="2:14" ht="11.25">
      <c r="B16" s="75" t="s">
        <v>131</v>
      </c>
      <c r="C16" s="267">
        <v>4.853</v>
      </c>
      <c r="D16" s="133">
        <v>2.375</v>
      </c>
      <c r="E16" s="133">
        <v>2.567</v>
      </c>
      <c r="F16" s="267">
        <v>0.19200000000000017</v>
      </c>
      <c r="G16" s="136">
        <v>-2.2859999999999996</v>
      </c>
      <c r="H16" s="133">
        <v>8.084210526315797</v>
      </c>
      <c r="I16" s="133">
        <v>-51.06119925819081</v>
      </c>
      <c r="J16" s="133">
        <v>-51.06119925819081</v>
      </c>
      <c r="K16" s="133">
        <v>-51.06119925819081</v>
      </c>
      <c r="L16" s="273">
        <v>-47.104883577168756</v>
      </c>
      <c r="M16" s="51"/>
      <c r="N16" s="53"/>
    </row>
    <row r="17" spans="2:12" ht="11.25">
      <c r="B17" s="72" t="s">
        <v>41</v>
      </c>
      <c r="C17" s="38">
        <v>-15668.964655760674</v>
      </c>
      <c r="D17" s="132">
        <v>-18549.44584087003</v>
      </c>
      <c r="E17" s="132">
        <v>-18626.51255815275</v>
      </c>
      <c r="F17" s="268">
        <v>-77.06671728271976</v>
      </c>
      <c r="G17" s="140">
        <v>-2957.547902392076</v>
      </c>
      <c r="H17" s="132">
        <v>0.415466413087762</v>
      </c>
      <c r="I17" s="132">
        <v>13.171487306173923</v>
      </c>
      <c r="J17" s="132">
        <v>15.042415683079824</v>
      </c>
      <c r="K17" s="132">
        <v>12.821862801393236</v>
      </c>
      <c r="L17" s="272">
        <v>18.87519671763851</v>
      </c>
    </row>
    <row r="18" spans="2:12" ht="12" thickBot="1">
      <c r="B18" s="76" t="s">
        <v>48</v>
      </c>
      <c r="C18" s="40">
        <v>30171.872230047084</v>
      </c>
      <c r="D18" s="135">
        <v>34110.504649209994</v>
      </c>
      <c r="E18" s="135">
        <v>34424.234505927845</v>
      </c>
      <c r="F18" s="269">
        <v>313.72985671785136</v>
      </c>
      <c r="G18" s="139">
        <v>4252.362275880761</v>
      </c>
      <c r="H18" s="135">
        <v>0.9197455738172945</v>
      </c>
      <c r="I18" s="135">
        <v>10.077511427032992</v>
      </c>
      <c r="J18" s="135">
        <v>12.805765725048591</v>
      </c>
      <c r="K18" s="135">
        <v>10.077268584864418</v>
      </c>
      <c r="L18" s="274">
        <v>14.093587509674999</v>
      </c>
    </row>
    <row r="19" spans="2:13" ht="11.25">
      <c r="B19" s="128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6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6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300" t="s">
        <v>74</v>
      </c>
      <c r="C22" s="300"/>
      <c r="D22" s="300"/>
      <c r="E22" s="300"/>
      <c r="F22" s="300"/>
      <c r="G22" s="300"/>
      <c r="H22" s="300"/>
      <c r="I22" s="300"/>
      <c r="J22" s="300"/>
      <c r="K22" s="300"/>
      <c r="L22" s="197"/>
    </row>
    <row r="23" spans="2:12" ht="11.25">
      <c r="B23" s="297" t="s">
        <v>114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00"/>
    </row>
    <row r="24" spans="2:12" ht="11.25">
      <c r="B24" s="69"/>
      <c r="C24" s="22"/>
      <c r="D24" s="22"/>
      <c r="E24" s="22"/>
      <c r="F24" s="292" t="s">
        <v>106</v>
      </c>
      <c r="G24" s="293"/>
      <c r="H24" s="127" t="s">
        <v>124</v>
      </c>
      <c r="I24" s="292" t="s">
        <v>160</v>
      </c>
      <c r="J24" s="294"/>
      <c r="K24" s="295"/>
      <c r="L24" s="199" t="s">
        <v>161</v>
      </c>
    </row>
    <row r="25" spans="2:12" ht="11.25">
      <c r="B25" s="70"/>
      <c r="C25" s="12">
        <f>C5</f>
        <v>39934</v>
      </c>
      <c r="D25" s="12">
        <f>D5</f>
        <v>40292</v>
      </c>
      <c r="E25" s="12">
        <f>E5</f>
        <v>40324</v>
      </c>
      <c r="F25" s="12" t="s">
        <v>109</v>
      </c>
      <c r="G25" s="58" t="s">
        <v>108</v>
      </c>
      <c r="H25" s="58" t="s">
        <v>127</v>
      </c>
      <c r="I25" s="12">
        <v>39873</v>
      </c>
      <c r="J25" s="12">
        <v>40269</v>
      </c>
      <c r="K25" s="12">
        <v>40210</v>
      </c>
      <c r="L25" s="12">
        <v>40299</v>
      </c>
    </row>
    <row r="26" spans="2:12" ht="11.25">
      <c r="B26" s="78"/>
      <c r="C26" s="35"/>
      <c r="D26" s="35"/>
      <c r="E26" s="35"/>
      <c r="F26" s="35"/>
      <c r="G26" s="35"/>
      <c r="H26" s="35"/>
      <c r="I26" s="35"/>
      <c r="J26" s="35"/>
      <c r="K26" s="35"/>
      <c r="L26" s="275"/>
    </row>
    <row r="27" spans="2:12" ht="11.25">
      <c r="B27" s="72" t="s">
        <v>48</v>
      </c>
      <c r="C27" s="38">
        <v>30171.927213609677</v>
      </c>
      <c r="D27" s="38">
        <v>34110.4872733052</v>
      </c>
      <c r="E27" s="38">
        <v>34424.234178815204</v>
      </c>
      <c r="F27" s="38">
        <v>313.74690551000094</v>
      </c>
      <c r="G27" s="38">
        <v>4252.306965205527</v>
      </c>
      <c r="H27" s="38">
        <v>0.9197960234227982</v>
      </c>
      <c r="I27" s="38">
        <v>10.077511427032992</v>
      </c>
      <c r="J27" s="38">
        <v>12.805765725048591</v>
      </c>
      <c r="K27" s="38">
        <v>10.077268584864418</v>
      </c>
      <c r="L27" s="276">
        <v>14.093587509674999</v>
      </c>
    </row>
    <row r="28" spans="2:12" ht="11.25">
      <c r="B28" s="74" t="s">
        <v>49</v>
      </c>
      <c r="C28" s="267">
        <v>1235.0133666344834</v>
      </c>
      <c r="D28" s="267">
        <v>1145.1952304699998</v>
      </c>
      <c r="E28" s="267">
        <v>1130.75612442</v>
      </c>
      <c r="F28" s="267">
        <v>-14.439106049999737</v>
      </c>
      <c r="G28" s="267">
        <v>-104.25724221448331</v>
      </c>
      <c r="H28" s="267">
        <v>-1.260842314552234</v>
      </c>
      <c r="I28" s="267">
        <v>-14.243346204002716</v>
      </c>
      <c r="J28" s="267">
        <v>-8.237080990934153</v>
      </c>
      <c r="K28" s="267">
        <v>-14.243346204002716</v>
      </c>
      <c r="L28" s="277">
        <v>-8.441790593618691</v>
      </c>
    </row>
    <row r="29" spans="2:12" ht="11.25">
      <c r="B29" s="74" t="s">
        <v>50</v>
      </c>
      <c r="C29" s="267">
        <v>18761.878137752483</v>
      </c>
      <c r="D29" s="267">
        <v>22302.982539265206</v>
      </c>
      <c r="E29" s="267">
        <v>22515.751625135206</v>
      </c>
      <c r="F29" s="267">
        <v>212.7690858700007</v>
      </c>
      <c r="G29" s="267">
        <v>3753.8734873827234</v>
      </c>
      <c r="H29" s="267">
        <v>0.953993868288302</v>
      </c>
      <c r="I29" s="267">
        <v>17.058781515872433</v>
      </c>
      <c r="J29" s="267">
        <v>20.034507410775326</v>
      </c>
      <c r="K29" s="267">
        <v>17.058402815687536</v>
      </c>
      <c r="L29" s="277">
        <v>20.007983528201322</v>
      </c>
    </row>
    <row r="30" spans="2:12" ht="11.25">
      <c r="B30" s="74" t="s">
        <v>51</v>
      </c>
      <c r="C30" s="267">
        <v>10171.097599504536</v>
      </c>
      <c r="D30" s="267">
        <v>10658.37710357</v>
      </c>
      <c r="E30" s="267">
        <v>10773.794029260001</v>
      </c>
      <c r="F30" s="267">
        <v>115.41692569000224</v>
      </c>
      <c r="G30" s="267">
        <v>602.6964297554659</v>
      </c>
      <c r="H30" s="267">
        <v>1.0828752310831975</v>
      </c>
      <c r="I30" s="267">
        <v>0.2252681819235436</v>
      </c>
      <c r="J30" s="267">
        <v>2.4268610602554697</v>
      </c>
      <c r="K30" s="267">
        <v>0.2252681819235436</v>
      </c>
      <c r="L30" s="277">
        <v>5.925579062232433</v>
      </c>
    </row>
    <row r="31" spans="2:12" ht="12" thickBot="1">
      <c r="B31" s="79" t="s">
        <v>104</v>
      </c>
      <c r="C31" s="267">
        <v>3.938109718176986</v>
      </c>
      <c r="D31" s="267">
        <v>3.9324</v>
      </c>
      <c r="E31" s="267">
        <v>3.9324</v>
      </c>
      <c r="F31" s="267">
        <v>0</v>
      </c>
      <c r="G31" s="267">
        <v>-0.005709718176986289</v>
      </c>
      <c r="H31" s="267">
        <v>0</v>
      </c>
      <c r="I31" s="267">
        <v>0.8060008251766781</v>
      </c>
      <c r="J31" s="267">
        <v>-0.11871559717804292</v>
      </c>
      <c r="K31" s="267">
        <v>0.7444774801506293</v>
      </c>
      <c r="L31" s="278">
        <v>-0.1449862646190958</v>
      </c>
    </row>
    <row r="32" spans="2:11" ht="11.25">
      <c r="B32" s="42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6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9" t="s">
        <v>74</v>
      </c>
      <c r="C35" s="300"/>
      <c r="D35" s="300"/>
      <c r="E35" s="300"/>
      <c r="F35" s="300"/>
      <c r="G35" s="300"/>
      <c r="H35" s="300"/>
      <c r="I35" s="300"/>
      <c r="J35" s="300"/>
      <c r="K35" s="300"/>
      <c r="L35" s="197"/>
    </row>
    <row r="36" spans="2:12" ht="11.25">
      <c r="B36" s="297" t="s">
        <v>168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00"/>
    </row>
    <row r="37" spans="2:12" ht="11.25">
      <c r="B37" s="69"/>
      <c r="C37" s="22"/>
      <c r="D37" s="22"/>
      <c r="E37" s="22"/>
      <c r="F37" s="292" t="s">
        <v>106</v>
      </c>
      <c r="G37" s="293"/>
      <c r="H37" s="127" t="s">
        <v>125</v>
      </c>
      <c r="I37" s="292" t="s">
        <v>160</v>
      </c>
      <c r="J37" s="294"/>
      <c r="K37" s="295"/>
      <c r="L37" s="198" t="s">
        <v>161</v>
      </c>
    </row>
    <row r="38" spans="2:12" ht="11.25">
      <c r="B38" s="70"/>
      <c r="C38" s="12">
        <f>C25</f>
        <v>39934</v>
      </c>
      <c r="D38" s="12">
        <f>D25</f>
        <v>40292</v>
      </c>
      <c r="E38" s="12">
        <f>E25</f>
        <v>40324</v>
      </c>
      <c r="F38" s="12" t="s">
        <v>109</v>
      </c>
      <c r="G38" s="58" t="s">
        <v>108</v>
      </c>
      <c r="H38" s="58" t="s">
        <v>127</v>
      </c>
      <c r="I38" s="12">
        <v>39873</v>
      </c>
      <c r="J38" s="12">
        <v>40269</v>
      </c>
      <c r="K38" s="12">
        <v>40210</v>
      </c>
      <c r="L38" s="12">
        <v>40299</v>
      </c>
    </row>
    <row r="39" spans="2:12" ht="11.25">
      <c r="B39" s="80"/>
      <c r="C39" s="36"/>
      <c r="D39" s="85"/>
      <c r="E39" s="85"/>
      <c r="F39" s="36"/>
      <c r="G39" s="37"/>
      <c r="H39" s="37"/>
      <c r="I39" s="37"/>
      <c r="J39" s="37"/>
      <c r="K39" s="37"/>
      <c r="L39" s="279"/>
    </row>
    <row r="40" spans="2:12" ht="11.25">
      <c r="B40" s="81" t="s">
        <v>137</v>
      </c>
      <c r="C40" s="149">
        <v>34121.46835418</v>
      </c>
      <c r="D40" s="149">
        <v>37149.968876686326</v>
      </c>
      <c r="E40" s="149">
        <v>37124.480349716454</v>
      </c>
      <c r="F40" s="149">
        <v>-25.4885269698716</v>
      </c>
      <c r="G40" s="149">
        <v>3003.011995536457</v>
      </c>
      <c r="H40" s="149">
        <v>-0.06860982052091857</v>
      </c>
      <c r="I40" s="149">
        <v>7.337187599474326</v>
      </c>
      <c r="J40" s="149">
        <v>9.185462341135576</v>
      </c>
      <c r="K40" s="149">
        <v>7.027607649307943</v>
      </c>
      <c r="L40" s="280">
        <v>8.800945974438346</v>
      </c>
    </row>
    <row r="41" spans="2:12" ht="11.25">
      <c r="B41" s="185" t="s">
        <v>46</v>
      </c>
      <c r="C41" s="186">
        <v>2841.1685602199996</v>
      </c>
      <c r="D41" s="186">
        <v>2858.25381078</v>
      </c>
      <c r="E41" s="186">
        <v>2820.57289021</v>
      </c>
      <c r="F41" s="186">
        <v>-37.680920570000126</v>
      </c>
      <c r="G41" s="186">
        <v>-20.595670009999594</v>
      </c>
      <c r="H41" s="186">
        <v>-1.3183196127609547</v>
      </c>
      <c r="I41" s="186">
        <v>7.155031160771319</v>
      </c>
      <c r="J41" s="186">
        <v>3.9421424476035805</v>
      </c>
      <c r="K41" s="186">
        <v>7.155031160771319</v>
      </c>
      <c r="L41" s="281">
        <v>-0.7249013767914203</v>
      </c>
    </row>
    <row r="42" spans="2:12" ht="11.25">
      <c r="B42" s="82" t="s">
        <v>138</v>
      </c>
      <c r="C42" s="165">
        <v>11687.82414143</v>
      </c>
      <c r="D42" s="165">
        <v>13288.18935532632</v>
      </c>
      <c r="E42" s="165">
        <v>13153.71419744645</v>
      </c>
      <c r="F42" s="165">
        <v>-134.47515787986958</v>
      </c>
      <c r="G42" s="165">
        <v>1465.8900560164511</v>
      </c>
      <c r="H42" s="165">
        <v>-1.0119900784373437</v>
      </c>
      <c r="I42" s="165">
        <v>9.512347991601366</v>
      </c>
      <c r="J42" s="165">
        <v>12.240733416125217</v>
      </c>
      <c r="K42" s="165">
        <v>9.512347991601366</v>
      </c>
      <c r="L42" s="282">
        <v>12.542026969932651</v>
      </c>
    </row>
    <row r="43" spans="2:12" ht="11.25">
      <c r="B43" s="83" t="s">
        <v>81</v>
      </c>
      <c r="C43" s="151">
        <v>8841.07550282</v>
      </c>
      <c r="D43" s="151">
        <v>10196.29798063632</v>
      </c>
      <c r="E43" s="151">
        <v>10014.91764398645</v>
      </c>
      <c r="F43" s="150">
        <v>-181.38033664987051</v>
      </c>
      <c r="G43" s="150">
        <v>1173.8421411664494</v>
      </c>
      <c r="H43" s="150">
        <v>-1.7788842283182382</v>
      </c>
      <c r="I43" s="150">
        <v>9.185294254138675</v>
      </c>
      <c r="J43" s="150">
        <v>13.296205685275186</v>
      </c>
      <c r="K43" s="150">
        <v>9.185294254138675</v>
      </c>
      <c r="L43" s="281">
        <v>13.27714191324385</v>
      </c>
    </row>
    <row r="44" spans="2:12" ht="11.25">
      <c r="B44" s="84" t="s">
        <v>82</v>
      </c>
      <c r="C44" s="152">
        <v>2744.37079824</v>
      </c>
      <c r="D44" s="152">
        <v>3249.81546787632</v>
      </c>
      <c r="E44" s="152">
        <v>3339.61058362645</v>
      </c>
      <c r="F44" s="150">
        <v>89.79511575013021</v>
      </c>
      <c r="G44" s="150">
        <v>595.23978538645</v>
      </c>
      <c r="H44" s="150">
        <v>2.763083523902644</v>
      </c>
      <c r="I44" s="150">
        <v>20.547479835750316</v>
      </c>
      <c r="J44" s="150">
        <v>20.208470290440573</v>
      </c>
      <c r="K44" s="150">
        <v>20.547479835750316</v>
      </c>
      <c r="L44" s="281">
        <v>21.68948109228479</v>
      </c>
    </row>
    <row r="45" spans="2:12" ht="11.25">
      <c r="B45" s="84" t="s">
        <v>83</v>
      </c>
      <c r="C45" s="152">
        <v>1724.9617608199999</v>
      </c>
      <c r="D45" s="152">
        <v>2106.1150105300003</v>
      </c>
      <c r="E45" s="152">
        <v>2009.12202792</v>
      </c>
      <c r="F45" s="150">
        <v>-96.99298261000035</v>
      </c>
      <c r="G45" s="150">
        <v>284.16026710000006</v>
      </c>
      <c r="H45" s="150">
        <v>-4.605303230120953</v>
      </c>
      <c r="I45" s="150">
        <v>10.972057536996171</v>
      </c>
      <c r="J45" s="150">
        <v>13.02292613525815</v>
      </c>
      <c r="K45" s="150">
        <v>10.972057536996171</v>
      </c>
      <c r="L45" s="281">
        <v>16.473424139264292</v>
      </c>
    </row>
    <row r="46" spans="2:12" ht="11.25">
      <c r="B46" s="84" t="s">
        <v>84</v>
      </c>
      <c r="C46" s="152">
        <v>4371.74294376</v>
      </c>
      <c r="D46" s="152">
        <v>4840.36750223</v>
      </c>
      <c r="E46" s="152">
        <v>4666.185032439999</v>
      </c>
      <c r="F46" s="150">
        <v>-174.18246979000105</v>
      </c>
      <c r="G46" s="150">
        <v>294.44208867999896</v>
      </c>
      <c r="H46" s="150">
        <v>-3.5985381215321697</v>
      </c>
      <c r="I46" s="150">
        <v>1.4104322879135545</v>
      </c>
      <c r="J46" s="150">
        <v>9.195384527958716</v>
      </c>
      <c r="K46" s="150">
        <v>1.4104322879135545</v>
      </c>
      <c r="L46" s="281">
        <v>6.73511897812451</v>
      </c>
    </row>
    <row r="47" spans="2:12" ht="11.25">
      <c r="B47" s="83" t="s">
        <v>85</v>
      </c>
      <c r="C47" s="152">
        <v>1923.7836907600001</v>
      </c>
      <c r="D47" s="152">
        <v>2087.96021708</v>
      </c>
      <c r="E47" s="152">
        <v>2076.60443109</v>
      </c>
      <c r="F47" s="150">
        <v>-11.355785989999731</v>
      </c>
      <c r="G47" s="150">
        <v>152.82074033000004</v>
      </c>
      <c r="H47" s="150">
        <v>-0.543869844698513</v>
      </c>
      <c r="I47" s="150">
        <v>6.802118730680928</v>
      </c>
      <c r="J47" s="150">
        <v>8.736510883931015</v>
      </c>
      <c r="K47" s="150">
        <v>6.802118730680928</v>
      </c>
      <c r="L47" s="281">
        <v>7.943759013240603</v>
      </c>
    </row>
    <row r="48" spans="2:12" ht="11.25">
      <c r="B48" s="83" t="s">
        <v>86</v>
      </c>
      <c r="C48" s="152">
        <v>57.93050293</v>
      </c>
      <c r="D48" s="152">
        <v>67.265</v>
      </c>
      <c r="E48" s="152">
        <v>65.772</v>
      </c>
      <c r="F48" s="150">
        <v>-1.492999999999995</v>
      </c>
      <c r="G48" s="150">
        <v>7.841497070000003</v>
      </c>
      <c r="H48" s="150">
        <v>-2.219579275997911</v>
      </c>
      <c r="I48" s="150">
        <v>14.575980401374888</v>
      </c>
      <c r="J48" s="150">
        <v>13.64840259274831</v>
      </c>
      <c r="K48" s="150">
        <v>14.575980401374888</v>
      </c>
      <c r="L48" s="281">
        <v>13.536041762791573</v>
      </c>
    </row>
    <row r="49" spans="2:12" ht="11.25">
      <c r="B49" s="83" t="s">
        <v>87</v>
      </c>
      <c r="C49" s="152">
        <v>865.0344449199999</v>
      </c>
      <c r="D49" s="152">
        <v>936.66615761</v>
      </c>
      <c r="E49" s="152">
        <v>996.42012237</v>
      </c>
      <c r="F49" s="150">
        <v>59.75396475999992</v>
      </c>
      <c r="G49" s="150">
        <v>131.38567745</v>
      </c>
      <c r="H49" s="150">
        <v>6.379430309777424</v>
      </c>
      <c r="I49" s="150">
        <v>18.627635883481176</v>
      </c>
      <c r="J49" s="150">
        <v>8.922566712521562</v>
      </c>
      <c r="K49" s="150">
        <v>18.627635883481176</v>
      </c>
      <c r="L49" s="281">
        <v>15.188490842367642</v>
      </c>
    </row>
    <row r="50" spans="2:13" ht="11.25">
      <c r="B50" s="82" t="s">
        <v>121</v>
      </c>
      <c r="C50" s="164">
        <v>22347.19121275</v>
      </c>
      <c r="D50" s="164">
        <v>23755.207521360004</v>
      </c>
      <c r="E50" s="164">
        <v>23862.58415227</v>
      </c>
      <c r="F50" s="165">
        <v>107.37663090999558</v>
      </c>
      <c r="G50" s="165">
        <v>1515.3929395199993</v>
      </c>
      <c r="H50" s="165">
        <v>0.4520130199386623</v>
      </c>
      <c r="I50" s="165">
        <v>6.113779614638171</v>
      </c>
      <c r="J50" s="165">
        <v>7.4859123291766805</v>
      </c>
      <c r="K50" s="165">
        <v>5.6398626449992495</v>
      </c>
      <c r="L50" s="282">
        <v>6.78113381271559</v>
      </c>
      <c r="M50" s="49"/>
    </row>
    <row r="51" spans="2:12" ht="11.25">
      <c r="B51" s="83" t="s">
        <v>88</v>
      </c>
      <c r="C51" s="153">
        <v>18300.53414605</v>
      </c>
      <c r="D51" s="153">
        <v>19633.04247911</v>
      </c>
      <c r="E51" s="153">
        <v>19761.197829700002</v>
      </c>
      <c r="F51" s="150">
        <v>128.15535059000104</v>
      </c>
      <c r="G51" s="150">
        <v>1460.6636836500038</v>
      </c>
      <c r="H51" s="150">
        <v>0.6527533912604794</v>
      </c>
      <c r="I51" s="150">
        <v>7.658295186579034</v>
      </c>
      <c r="J51" s="150">
        <v>8.782177101674748</v>
      </c>
      <c r="K51" s="150">
        <v>7.077165603207836</v>
      </c>
      <c r="L51" s="281">
        <v>7.9815357955837385</v>
      </c>
    </row>
    <row r="52" spans="2:12" ht="11.25">
      <c r="B52" s="84" t="s">
        <v>82</v>
      </c>
      <c r="C52" s="152">
        <v>14729.695849009999</v>
      </c>
      <c r="D52" s="152">
        <v>15800.85520641</v>
      </c>
      <c r="E52" s="152">
        <v>15891.16364707</v>
      </c>
      <c r="F52" s="150">
        <v>90.30844065999918</v>
      </c>
      <c r="G52" s="150">
        <v>1161.4677980600009</v>
      </c>
      <c r="H52" s="150">
        <v>0.5715414734220422</v>
      </c>
      <c r="I52" s="150">
        <v>6.555783930677395</v>
      </c>
      <c r="J52" s="150">
        <v>8.564563880922748</v>
      </c>
      <c r="K52" s="150">
        <v>6.555783930677395</v>
      </c>
      <c r="L52" s="281">
        <v>7.885212362603289</v>
      </c>
    </row>
    <row r="53" spans="2:12" ht="11.25">
      <c r="B53" s="84" t="s">
        <v>89</v>
      </c>
      <c r="C53" s="152">
        <v>2216.0983109800004</v>
      </c>
      <c r="D53" s="152">
        <v>2431.90137422</v>
      </c>
      <c r="E53" s="152">
        <v>2462.32766153</v>
      </c>
      <c r="F53" s="150">
        <v>30.426287310000134</v>
      </c>
      <c r="G53" s="150">
        <v>246.2293505499997</v>
      </c>
      <c r="H53" s="150">
        <v>1.251131630276699</v>
      </c>
      <c r="I53" s="150">
        <v>12.396684532224466</v>
      </c>
      <c r="J53" s="150">
        <v>8.698464168051867</v>
      </c>
      <c r="K53" s="150">
        <v>7.520072347756579</v>
      </c>
      <c r="L53" s="281">
        <v>11.110939859031465</v>
      </c>
    </row>
    <row r="54" spans="2:12" ht="11.25">
      <c r="B54" s="84" t="s">
        <v>84</v>
      </c>
      <c r="C54" s="152">
        <v>1354.73998606</v>
      </c>
      <c r="D54" s="152">
        <v>1400.28589848</v>
      </c>
      <c r="E54" s="152">
        <v>1407.7065211</v>
      </c>
      <c r="F54" s="150">
        <v>7.420622619999904</v>
      </c>
      <c r="G54" s="150">
        <v>52.966535039999826</v>
      </c>
      <c r="H54" s="150">
        <v>0.5299362528791396</v>
      </c>
      <c r="I54" s="150">
        <v>12.229764842282842</v>
      </c>
      <c r="J54" s="150">
        <v>11.452109528254727</v>
      </c>
      <c r="K54" s="150">
        <v>12.229764842282842</v>
      </c>
      <c r="L54" s="281">
        <v>3.909719620371055</v>
      </c>
    </row>
    <row r="55" spans="2:12" ht="11.25">
      <c r="B55" s="83" t="s">
        <v>85</v>
      </c>
      <c r="C55" s="152">
        <v>3285.5599918300004</v>
      </c>
      <c r="D55" s="152">
        <v>3357.9439306699996</v>
      </c>
      <c r="E55" s="152">
        <v>3372.67532063</v>
      </c>
      <c r="F55" s="150">
        <v>14.731389960000342</v>
      </c>
      <c r="G55" s="150">
        <v>87.11532879999959</v>
      </c>
      <c r="H55" s="150">
        <v>0.4387026783100883</v>
      </c>
      <c r="I55" s="150">
        <v>0.3243698299681075</v>
      </c>
      <c r="J55" s="150">
        <v>1.9309903554092234</v>
      </c>
      <c r="K55" s="150">
        <v>0.3243698299681075</v>
      </c>
      <c r="L55" s="281">
        <v>2.6514606038734234</v>
      </c>
    </row>
    <row r="56" spans="2:12" ht="11.25">
      <c r="B56" s="83" t="s">
        <v>86</v>
      </c>
      <c r="C56" s="152">
        <v>83.93870052</v>
      </c>
      <c r="D56" s="152">
        <v>83.82114118</v>
      </c>
      <c r="E56" s="152">
        <v>92.03786237999999</v>
      </c>
      <c r="F56" s="150">
        <v>8.216721199999995</v>
      </c>
      <c r="G56" s="150">
        <v>8.099161859999995</v>
      </c>
      <c r="H56" s="150">
        <v>9.802683528675857</v>
      </c>
      <c r="I56" s="150">
        <v>-3.15214026462457</v>
      </c>
      <c r="J56" s="150">
        <v>-1.2729613318806066</v>
      </c>
      <c r="K56" s="150">
        <v>-3.15214026462457</v>
      </c>
      <c r="L56" s="281">
        <v>9.648900697563478</v>
      </c>
    </row>
    <row r="57" spans="2:12" ht="11.25">
      <c r="B57" s="83" t="s">
        <v>87</v>
      </c>
      <c r="C57" s="152">
        <v>677.1583743499999</v>
      </c>
      <c r="D57" s="152">
        <v>680.3999704000001</v>
      </c>
      <c r="E57" s="152">
        <v>636.6731395600001</v>
      </c>
      <c r="F57" s="150">
        <v>-43.72683084000005</v>
      </c>
      <c r="G57" s="150">
        <v>-40.48523478999982</v>
      </c>
      <c r="H57" s="150">
        <v>-6.426636205509165</v>
      </c>
      <c r="I57" s="150">
        <v>-5.553997439802593</v>
      </c>
      <c r="J57" s="150">
        <v>1.0246781778773695</v>
      </c>
      <c r="K57" s="150">
        <v>-5.553997439802593</v>
      </c>
      <c r="L57" s="281">
        <v>-5.978695135958612</v>
      </c>
    </row>
    <row r="58" spans="2:12" ht="12" thickBot="1">
      <c r="B58" s="270" t="s">
        <v>90</v>
      </c>
      <c r="C58" s="166">
        <v>86.453</v>
      </c>
      <c r="D58" s="166">
        <v>106.572</v>
      </c>
      <c r="E58" s="191">
        <v>108.18199999999999</v>
      </c>
      <c r="F58" s="166">
        <v>1.6099999999999852</v>
      </c>
      <c r="G58" s="166">
        <v>21.728999999999985</v>
      </c>
      <c r="H58" s="166">
        <v>1.5107157602371966</v>
      </c>
      <c r="I58" s="166">
        <v>27.39292124681785</v>
      </c>
      <c r="J58" s="166">
        <v>25.561996324049208</v>
      </c>
      <c r="K58" s="166">
        <v>27.39292124681785</v>
      </c>
      <c r="L58" s="283">
        <v>25.13388777717371</v>
      </c>
    </row>
    <row r="59" ht="11.25">
      <c r="B59" s="54" t="s">
        <v>120</v>
      </c>
    </row>
    <row r="62" spans="2:11" ht="12">
      <c r="B62" s="296"/>
      <c r="C62" s="296"/>
      <c r="D62" s="296"/>
      <c r="E62" s="296"/>
      <c r="F62" s="296"/>
      <c r="G62" s="296"/>
      <c r="H62" s="296"/>
      <c r="I62" s="296"/>
      <c r="J62" s="296"/>
      <c r="K62" s="296"/>
    </row>
  </sheetData>
  <sheetProtection/>
  <mergeCells count="13">
    <mergeCell ref="B2:K2"/>
    <mergeCell ref="B22:K22"/>
    <mergeCell ref="B23:K23"/>
    <mergeCell ref="B3:K3"/>
    <mergeCell ref="I4:K4"/>
    <mergeCell ref="F4:G4"/>
    <mergeCell ref="F24:G24"/>
    <mergeCell ref="I24:K24"/>
    <mergeCell ref="B62:K62"/>
    <mergeCell ref="B36:K36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34">
      <selection activeCell="I61" sqref="I61"/>
    </sheetView>
  </sheetViews>
  <sheetFormatPr defaultColWidth="9.140625" defaultRowHeight="12"/>
  <cols>
    <col min="1" max="16384" width="9.28125" style="1" customWidth="1"/>
  </cols>
  <sheetData>
    <row r="2" spans="1:14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3"/>
      <c r="N3" s="63"/>
    </row>
    <row r="4" spans="1:17" ht="15">
      <c r="A4" s="183"/>
      <c r="N4" s="183"/>
      <c r="O4" s="184"/>
      <c r="P4" s="184"/>
      <c r="Q4" s="184"/>
    </row>
    <row r="5" spans="1:17" ht="15.75">
      <c r="A5" s="183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183"/>
      <c r="O5" s="184"/>
      <c r="P5" s="184"/>
      <c r="Q5" s="184"/>
    </row>
    <row r="6" spans="1:17" ht="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P6" s="184"/>
      <c r="Q6" s="184"/>
    </row>
    <row r="7" spans="1:17" ht="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  <c r="P7" s="184"/>
      <c r="Q7" s="184"/>
    </row>
    <row r="8" spans="1:17" ht="15.75">
      <c r="A8" s="183"/>
      <c r="B8" s="183"/>
      <c r="C8" s="304" t="s">
        <v>165</v>
      </c>
      <c r="D8" s="305"/>
      <c r="E8" s="305"/>
      <c r="F8" s="305"/>
      <c r="G8" s="305"/>
      <c r="H8" s="305"/>
      <c r="I8" s="305"/>
      <c r="J8" s="305"/>
      <c r="K8" s="305"/>
      <c r="L8" s="305"/>
      <c r="M8" s="306"/>
      <c r="N8" s="306"/>
      <c r="O8" s="184"/>
      <c r="P8" s="184"/>
      <c r="Q8" s="184"/>
    </row>
    <row r="9" spans="1:17" ht="1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4"/>
      <c r="Q9" s="184"/>
    </row>
    <row r="10" spans="1:17" ht="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4"/>
      <c r="P10" s="184"/>
      <c r="Q10" s="184"/>
    </row>
    <row r="11" spans="1:17" ht="1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184"/>
      <c r="Q11" s="184"/>
    </row>
    <row r="12" spans="1:17" ht="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184"/>
      <c r="Q12" s="184"/>
    </row>
    <row r="13" spans="1:17" ht="1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184"/>
      <c r="Q13" s="184"/>
    </row>
    <row r="14" spans="1:17" ht="1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/>
      <c r="P14" s="184"/>
      <c r="Q14" s="184"/>
    </row>
    <row r="15" spans="1:17" ht="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84"/>
      <c r="Q15" s="184"/>
    </row>
    <row r="16" spans="1:24" ht="1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84"/>
      <c r="Q16" s="184"/>
      <c r="X16" s="264"/>
    </row>
    <row r="17" spans="1:17" ht="1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184"/>
      <c r="Q17" s="184"/>
    </row>
    <row r="18" spans="1:17" ht="15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4"/>
      <c r="Q18" s="184"/>
    </row>
    <row r="19" spans="1:17" ht="15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/>
      <c r="P19" s="184"/>
      <c r="Q19" s="184"/>
    </row>
    <row r="20" spans="1:17" ht="15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4"/>
      <c r="P20" s="184"/>
      <c r="Q20" s="184"/>
    </row>
    <row r="21" spans="1:17" ht="15">
      <c r="A21" s="184"/>
      <c r="B21" s="184"/>
      <c r="C21" s="184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ht="1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</row>
    <row r="23" spans="1:17" ht="1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1:17" ht="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1:17" ht="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1:17" ht="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  <row r="27" spans="1:17" ht="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17" ht="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17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15">
      <c r="A30" s="184"/>
      <c r="C30" s="15"/>
      <c r="D30" s="189"/>
      <c r="E30" s="189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17" ht="15">
      <c r="A31" s="18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5"/>
      <c r="N31" s="184"/>
      <c r="O31" s="184"/>
      <c r="P31" s="184"/>
      <c r="Q31" s="184"/>
    </row>
    <row r="32" spans="1:17" ht="15">
      <c r="A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ht="15">
      <c r="A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</row>
    <row r="34" spans="1:17" ht="15.75">
      <c r="A34" s="184"/>
      <c r="C34" s="93" t="s">
        <v>170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</row>
    <row r="35" spans="1:17" ht="15">
      <c r="A35" s="184"/>
      <c r="N35" s="184"/>
      <c r="O35" s="184"/>
      <c r="P35" s="184"/>
      <c r="Q35" s="184"/>
    </row>
    <row r="36" spans="2:5" ht="15">
      <c r="B36" s="126"/>
      <c r="C36" s="61"/>
      <c r="D36" s="61"/>
      <c r="E36" s="61"/>
    </row>
    <row r="37" ht="15">
      <c r="B37" s="188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8"/>
  <sheetViews>
    <sheetView showGridLines="0" zoomScale="80" zoomScaleNormal="80" zoomScalePageLayoutView="0" workbookViewId="0" topLeftCell="A31">
      <selection activeCell="Q48" sqref="Q48"/>
    </sheetView>
  </sheetViews>
  <sheetFormatPr defaultColWidth="9.140625" defaultRowHeight="12"/>
  <sheetData>
    <row r="4" spans="2:13" ht="18.75" customHeight="1">
      <c r="B4" s="304" t="s">
        <v>163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2:13" ht="18.75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2:13" ht="18.75" customHeigh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.7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13" ht="15.7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2:13" ht="15.7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.75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2:13" ht="15.75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37" spans="2:13" ht="18">
      <c r="B37" s="307" t="s">
        <v>128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</row>
    <row r="38" ht="11.25">
      <c r="A38" s="129"/>
    </row>
    <row r="43" spans="2:13" ht="15.75">
      <c r="B43" s="93"/>
      <c r="C43" s="285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68" ht="11.25">
      <c r="B68" s="61"/>
    </row>
  </sheetData>
  <sheetProtection/>
  <mergeCells count="2">
    <mergeCell ref="B4:M4"/>
    <mergeCell ref="B37:M37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8"/>
  <sheetViews>
    <sheetView showGridLines="0" zoomScale="110" zoomScaleNormal="110" zoomScaleSheetLayoutView="75" zoomScalePageLayoutView="0" workbookViewId="0" topLeftCell="A13">
      <selection activeCell="D32" sqref="D32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42</v>
      </c>
    </row>
    <row r="2" spans="1:4" ht="12.75" thickBot="1">
      <c r="A2" s="3" t="s">
        <v>2</v>
      </c>
      <c r="B2" s="47">
        <v>40269</v>
      </c>
      <c r="C2" s="47">
        <v>40299</v>
      </c>
      <c r="D2" s="4"/>
    </row>
    <row r="3" spans="1:4" ht="12">
      <c r="A3" s="5"/>
      <c r="B3" s="32"/>
      <c r="C3" s="32"/>
      <c r="D3" s="4"/>
    </row>
    <row r="4" spans="1:4" ht="12">
      <c r="A4" s="5" t="s">
        <v>158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38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100</v>
      </c>
      <c r="B10" s="33">
        <v>9.6</v>
      </c>
      <c r="C10" s="33">
        <v>9.87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5.12</v>
      </c>
      <c r="C12" s="33">
        <v>5.29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6.72</v>
      </c>
      <c r="C16" s="50">
        <v>6.64</v>
      </c>
    </row>
    <row r="17" spans="1:3" ht="12">
      <c r="A17" s="5" t="s">
        <v>37</v>
      </c>
      <c r="B17" s="50">
        <v>7.02</v>
      </c>
      <c r="C17" s="50">
        <v>6.93</v>
      </c>
    </row>
    <row r="18" spans="1:3" ht="12">
      <c r="A18" s="5" t="s">
        <v>7</v>
      </c>
      <c r="B18" s="50">
        <v>120</v>
      </c>
      <c r="C18" s="50">
        <v>150</v>
      </c>
    </row>
    <row r="19" spans="1:3" ht="12">
      <c r="A19" s="5" t="s">
        <v>8</v>
      </c>
      <c r="B19" s="50">
        <v>120.36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172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288">
        <v>0</v>
      </c>
      <c r="C23" s="288">
        <v>6.69</v>
      </c>
    </row>
    <row r="24" spans="1:3" ht="12">
      <c r="A24" s="5" t="s">
        <v>36</v>
      </c>
      <c r="B24" s="288">
        <v>0</v>
      </c>
      <c r="C24" s="288">
        <v>7.04</v>
      </c>
    </row>
    <row r="25" spans="1:3" ht="12">
      <c r="A25" s="5" t="s">
        <v>7</v>
      </c>
      <c r="B25" s="50">
        <v>0</v>
      </c>
      <c r="C25" s="50">
        <v>150</v>
      </c>
    </row>
    <row r="26" spans="1:3" ht="12">
      <c r="A26" s="5" t="s">
        <v>8</v>
      </c>
      <c r="B26" s="50">
        <v>0</v>
      </c>
      <c r="C26" s="50">
        <v>150</v>
      </c>
    </row>
    <row r="27" spans="1:3" ht="12">
      <c r="A27" s="5"/>
      <c r="B27" s="33"/>
      <c r="C27" s="33"/>
    </row>
    <row r="28" spans="1:3" ht="12">
      <c r="A28" s="6" t="s">
        <v>159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6.835</v>
      </c>
      <c r="C30" s="50">
        <v>6.86</v>
      </c>
    </row>
    <row r="31" spans="1:3" ht="12">
      <c r="A31" s="5" t="s">
        <v>36</v>
      </c>
      <c r="B31" s="50">
        <v>7.34</v>
      </c>
      <c r="C31" s="50">
        <v>7.37</v>
      </c>
    </row>
    <row r="32" spans="1:3" ht="12">
      <c r="A32" s="5" t="s">
        <v>7</v>
      </c>
      <c r="B32" s="50">
        <v>150</v>
      </c>
      <c r="C32" s="50">
        <v>250</v>
      </c>
    </row>
    <row r="33" spans="1:3" ht="12">
      <c r="A33" s="5" t="s">
        <v>8</v>
      </c>
      <c r="B33" s="50">
        <v>150</v>
      </c>
      <c r="C33" s="50">
        <v>250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39</v>
      </c>
      <c r="B37" s="130">
        <v>3506.64</v>
      </c>
      <c r="C37" s="130">
        <v>3506.64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5"/>
      <c r="C40" s="65"/>
    </row>
    <row r="41" spans="1:3" ht="12.75" thickBot="1">
      <c r="A41" s="3" t="s">
        <v>9</v>
      </c>
      <c r="B41" s="47">
        <f>B2</f>
        <v>40269</v>
      </c>
      <c r="C41" s="47">
        <f>C2</f>
        <v>40299</v>
      </c>
    </row>
    <row r="42" spans="1:3" ht="12">
      <c r="A42" s="5"/>
      <c r="B42" s="66"/>
      <c r="C42" s="66"/>
    </row>
    <row r="43" spans="1:3" ht="12">
      <c r="A43" s="6" t="s">
        <v>10</v>
      </c>
      <c r="B43" s="30"/>
      <c r="C43" s="30"/>
    </row>
    <row r="44" spans="1:3" ht="12">
      <c r="A44" s="7" t="s">
        <v>79</v>
      </c>
      <c r="B44" s="30"/>
      <c r="C44" s="30"/>
    </row>
    <row r="45" spans="1:3" ht="12">
      <c r="A45" s="5" t="s">
        <v>11</v>
      </c>
      <c r="B45" s="291">
        <v>8.82</v>
      </c>
      <c r="C45" s="291">
        <v>8.82</v>
      </c>
    </row>
    <row r="46" spans="1:3" ht="12">
      <c r="A46" s="5" t="s">
        <v>7</v>
      </c>
      <c r="B46" s="291">
        <v>8</v>
      </c>
      <c r="C46" s="291">
        <v>8</v>
      </c>
    </row>
    <row r="47" spans="1:3" ht="12">
      <c r="A47" s="5" t="s">
        <v>8</v>
      </c>
      <c r="B47" s="291">
        <v>0</v>
      </c>
      <c r="C47" s="291">
        <v>0</v>
      </c>
    </row>
    <row r="48" spans="1:3" ht="12">
      <c r="A48" s="5"/>
      <c r="B48" s="33"/>
      <c r="C48" s="33"/>
    </row>
    <row r="49" spans="1:3" ht="12">
      <c r="A49" s="5" t="s">
        <v>12</v>
      </c>
      <c r="B49" s="130">
        <v>5408.99</v>
      </c>
      <c r="C49" s="130">
        <v>5448.99</v>
      </c>
    </row>
    <row r="50" spans="1:4" ht="12.75" thickBot="1">
      <c r="A50" s="5"/>
      <c r="B50" s="65"/>
      <c r="C50" s="65"/>
      <c r="D50" s="9"/>
    </row>
    <row r="51" spans="1:3" ht="12.75" thickBot="1">
      <c r="A51" s="3" t="s">
        <v>13</v>
      </c>
      <c r="B51" s="47">
        <f>B41</f>
        <v>40269</v>
      </c>
      <c r="C51" s="47">
        <f>C41</f>
        <v>40299</v>
      </c>
    </row>
    <row r="52" spans="1:3" ht="12">
      <c r="A52" s="5"/>
      <c r="B52" s="66"/>
      <c r="C52" s="66"/>
    </row>
    <row r="53" spans="1:3" ht="12">
      <c r="A53" s="6" t="s">
        <v>14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15</v>
      </c>
      <c r="B55" s="130">
        <v>6.698</v>
      </c>
      <c r="C55" s="130">
        <v>71.4</v>
      </c>
      <c r="D55" s="8"/>
    </row>
    <row r="56" spans="1:9" ht="12">
      <c r="A56" s="5" t="s">
        <v>16</v>
      </c>
      <c r="B56" s="131">
        <v>260.08</v>
      </c>
      <c r="C56" s="131">
        <v>2544</v>
      </c>
      <c r="D56" s="8"/>
      <c r="G56" s="9"/>
      <c r="I56" s="9"/>
    </row>
    <row r="57" spans="1:4" ht="12">
      <c r="A57" s="5" t="s">
        <v>17</v>
      </c>
      <c r="B57" s="131">
        <v>811.2</v>
      </c>
      <c r="C57" s="131">
        <v>759.23</v>
      </c>
      <c r="D57" s="10"/>
    </row>
    <row r="58" spans="1:4" ht="12">
      <c r="A58" s="5" t="s">
        <v>18</v>
      </c>
      <c r="B58" s="131">
        <v>1075.978</v>
      </c>
      <c r="C58" s="131">
        <v>1010.97</v>
      </c>
      <c r="D58" s="10"/>
    </row>
    <row r="59" spans="1:3" ht="12">
      <c r="A59" s="5" t="s">
        <v>19</v>
      </c>
      <c r="B59" s="130">
        <v>454.952</v>
      </c>
      <c r="C59" s="130">
        <v>417.29</v>
      </c>
    </row>
    <row r="60" spans="1:9" ht="12">
      <c r="A60" s="5" t="s">
        <v>20</v>
      </c>
      <c r="B60" s="131">
        <v>536.027</v>
      </c>
      <c r="C60" s="131">
        <v>509.31</v>
      </c>
      <c r="G60" s="9"/>
      <c r="I60" s="9"/>
    </row>
    <row r="61" spans="1:9" ht="12">
      <c r="A61" s="5" t="s">
        <v>21</v>
      </c>
      <c r="B61" s="131">
        <v>14.25</v>
      </c>
      <c r="C61" s="131">
        <v>13.51</v>
      </c>
      <c r="G61" s="9"/>
      <c r="I61" s="9"/>
    </row>
    <row r="62" spans="1:3" ht="12">
      <c r="A62" s="5" t="s">
        <v>22</v>
      </c>
      <c r="B62" s="131">
        <v>66.939</v>
      </c>
      <c r="C62" s="131">
        <v>67.31</v>
      </c>
    </row>
    <row r="63" spans="1:3" ht="12">
      <c r="A63" s="5" t="s">
        <v>23</v>
      </c>
      <c r="B63" s="130">
        <v>3.807</v>
      </c>
      <c r="C63" s="130">
        <v>3.55</v>
      </c>
    </row>
    <row r="64" spans="1:3" ht="12">
      <c r="A64" s="5"/>
      <c r="B64" s="131"/>
      <c r="C64" s="131"/>
    </row>
    <row r="65" spans="1:3" ht="12">
      <c r="A65" s="6" t="s">
        <v>24</v>
      </c>
      <c r="B65" s="131"/>
      <c r="C65" s="131"/>
    </row>
    <row r="66" spans="1:4" ht="12">
      <c r="A66" s="5"/>
      <c r="B66" s="131"/>
      <c r="C66" s="131"/>
      <c r="D66" s="8"/>
    </row>
    <row r="67" spans="1:4" ht="12">
      <c r="A67" s="5" t="s">
        <v>15</v>
      </c>
      <c r="B67" s="288">
        <v>0.832</v>
      </c>
      <c r="C67" s="288">
        <v>0.35</v>
      </c>
      <c r="D67" s="8"/>
    </row>
    <row r="68" spans="1:4" ht="12">
      <c r="A68" s="5" t="s">
        <v>16</v>
      </c>
      <c r="B68" s="288">
        <v>6.791</v>
      </c>
      <c r="C68" s="288">
        <v>4.04</v>
      </c>
      <c r="D68" s="9"/>
    </row>
    <row r="69" spans="1:4" ht="12">
      <c r="A69" s="5" t="s">
        <v>17</v>
      </c>
      <c r="B69" s="288">
        <v>158.18</v>
      </c>
      <c r="C69" s="288">
        <v>159.13</v>
      </c>
      <c r="D69" s="9"/>
    </row>
    <row r="70" spans="1:4" ht="12">
      <c r="A70" s="5" t="s">
        <v>18</v>
      </c>
      <c r="B70" s="288">
        <v>7.237</v>
      </c>
      <c r="C70" s="288">
        <v>7.27</v>
      </c>
      <c r="D70" s="9"/>
    </row>
    <row r="71" spans="1:4" ht="12">
      <c r="A71" s="5" t="s">
        <v>19</v>
      </c>
      <c r="B71" s="288">
        <v>0</v>
      </c>
      <c r="C71" s="288">
        <v>0</v>
      </c>
      <c r="D71" s="9"/>
    </row>
    <row r="72" spans="1:4" ht="12">
      <c r="A72" s="5" t="s">
        <v>20</v>
      </c>
      <c r="B72" s="288">
        <v>4.35</v>
      </c>
      <c r="C72" s="288">
        <v>4.35</v>
      </c>
      <c r="D72" s="9"/>
    </row>
    <row r="73" spans="1:4" ht="12">
      <c r="A73" s="5" t="s">
        <v>21</v>
      </c>
      <c r="B73" s="288">
        <v>2.88</v>
      </c>
      <c r="C73" s="288">
        <v>2.925</v>
      </c>
      <c r="D73" s="193"/>
    </row>
    <row r="74" spans="1:3" ht="12">
      <c r="A74" s="5" t="s">
        <v>22</v>
      </c>
      <c r="B74" s="288">
        <v>0</v>
      </c>
      <c r="C74" s="288">
        <v>0</v>
      </c>
    </row>
    <row r="75" spans="1:3" ht="12">
      <c r="A75" s="5" t="s">
        <v>23</v>
      </c>
      <c r="B75" s="288">
        <v>0</v>
      </c>
      <c r="C75" s="288">
        <v>0</v>
      </c>
    </row>
    <row r="76" spans="1:3" ht="12">
      <c r="A76" s="5"/>
      <c r="B76" s="33"/>
      <c r="C76" s="33"/>
    </row>
    <row r="77" spans="1:3" ht="12">
      <c r="A77" s="6" t="s">
        <v>129</v>
      </c>
      <c r="B77" s="33"/>
      <c r="C77" s="33"/>
    </row>
    <row r="78" spans="1:3" ht="12">
      <c r="A78" s="5" t="s">
        <v>130</v>
      </c>
      <c r="B78" s="284">
        <v>25.26</v>
      </c>
      <c r="C78" s="284">
        <v>0</v>
      </c>
    </row>
    <row r="79" spans="1:3" ht="12">
      <c r="A79" s="5" t="s">
        <v>18</v>
      </c>
      <c r="B79" s="284">
        <v>21.27</v>
      </c>
      <c r="C79" s="284">
        <v>18.49</v>
      </c>
    </row>
    <row r="80" spans="1:3" ht="12.75" thickBot="1">
      <c r="A80" s="5"/>
      <c r="B80" s="33"/>
      <c r="C80" s="33"/>
    </row>
    <row r="81" spans="1:3" ht="12.75" thickBot="1">
      <c r="A81" s="3" t="s">
        <v>78</v>
      </c>
      <c r="B81" s="47">
        <f>B51</f>
        <v>40269</v>
      </c>
      <c r="C81" s="47">
        <f>C51</f>
        <v>40299</v>
      </c>
    </row>
    <row r="82" spans="1:3" ht="12">
      <c r="A82" s="5"/>
      <c r="B82" s="66"/>
      <c r="C82" s="66"/>
    </row>
    <row r="83" spans="1:3" ht="12">
      <c r="A83" s="5" t="s">
        <v>25</v>
      </c>
      <c r="B83" s="64">
        <v>5</v>
      </c>
      <c r="C83" s="64">
        <v>4.7</v>
      </c>
    </row>
    <row r="84" spans="1:3" ht="12">
      <c r="A84" s="5" t="s">
        <v>26</v>
      </c>
      <c r="B84" s="286">
        <v>2</v>
      </c>
      <c r="C84" s="286">
        <v>2.1</v>
      </c>
    </row>
    <row r="85" spans="1:3" ht="12.75" thickBot="1">
      <c r="A85" s="11" t="s">
        <v>27</v>
      </c>
      <c r="B85" s="287">
        <v>-0.1</v>
      </c>
      <c r="C85" s="287">
        <v>0.2</v>
      </c>
    </row>
    <row r="86" ht="12">
      <c r="A86" s="2" t="s">
        <v>105</v>
      </c>
    </row>
    <row r="87" ht="12">
      <c r="A87" s="2" t="s">
        <v>110</v>
      </c>
    </row>
    <row r="88" ht="12">
      <c r="A88" s="2" t="s">
        <v>171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1">
      <selection activeCell="H70" sqref="H70"/>
    </sheetView>
  </sheetViews>
  <sheetFormatPr defaultColWidth="9.140625" defaultRowHeight="12"/>
  <cols>
    <col min="1" max="1" width="3.421875" style="0" customWidth="1"/>
  </cols>
  <sheetData>
    <row r="2" spans="4:14" ht="15.75"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2" ht="2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6" ht="15.75">
      <c r="A4" s="14"/>
      <c r="B4" s="312" t="s">
        <v>164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4"/>
      <c r="N4" s="14"/>
      <c r="O4" s="14"/>
      <c r="P4" s="14"/>
    </row>
    <row r="5" spans="1:16" ht="18">
      <c r="A5" s="14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6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>
      <c r="A23" s="14"/>
      <c r="B23" s="312" t="s">
        <v>157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M25" s="14"/>
      <c r="N25" s="14"/>
      <c r="O25" s="14"/>
      <c r="P25" s="14"/>
    </row>
    <row r="26" spans="1:16" ht="15.75">
      <c r="A26" s="14"/>
      <c r="B26" s="86"/>
      <c r="C26" s="62"/>
      <c r="D26" s="5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5" t="s">
        <v>102</v>
      </c>
    </row>
    <row r="45" spans="2:12" ht="15.75">
      <c r="B45" s="309" t="s">
        <v>153</v>
      </c>
      <c r="C45" s="305"/>
      <c r="D45" s="305"/>
      <c r="E45" s="305"/>
      <c r="F45" s="305"/>
      <c r="G45" s="305"/>
      <c r="H45" s="305"/>
      <c r="I45" s="305"/>
      <c r="J45" s="305"/>
      <c r="K45" s="305"/>
      <c r="L45" s="305"/>
    </row>
    <row r="62" spans="2:12" ht="20.25">
      <c r="B62" s="201"/>
      <c r="C62" s="202"/>
      <c r="D62" s="202"/>
      <c r="E62" s="202"/>
      <c r="F62" s="202"/>
      <c r="G62" s="202"/>
      <c r="H62" s="202"/>
      <c r="I62" s="202"/>
      <c r="J62" s="202"/>
      <c r="K62" s="202"/>
      <c r="L62" s="202"/>
    </row>
    <row r="63" spans="2:12" ht="20.25">
      <c r="B63" s="201"/>
      <c r="C63" s="202"/>
      <c r="D63" s="202"/>
      <c r="E63" s="202"/>
      <c r="F63" s="202"/>
      <c r="G63" s="202"/>
      <c r="H63" s="202"/>
      <c r="I63" s="202"/>
      <c r="J63" s="202"/>
      <c r="K63" s="202"/>
      <c r="L63" s="202"/>
    </row>
    <row r="64" spans="2:12" ht="20.25">
      <c r="B64" s="201"/>
      <c r="C64" s="202"/>
      <c r="D64" s="202"/>
      <c r="E64" s="202"/>
      <c r="F64" s="202"/>
      <c r="G64" s="202"/>
      <c r="H64" s="202"/>
      <c r="I64" s="202"/>
      <c r="J64" s="202"/>
      <c r="K64" s="202"/>
      <c r="L64" s="202"/>
    </row>
    <row r="67" ht="12.75">
      <c r="B67" s="265" t="s">
        <v>103</v>
      </c>
    </row>
    <row r="77" ht="11.25">
      <c r="B77" s="195"/>
    </row>
  </sheetData>
  <sheetProtection/>
  <mergeCells count="6">
    <mergeCell ref="A7:J7"/>
    <mergeCell ref="B45:L45"/>
    <mergeCell ref="D2:N2"/>
    <mergeCell ref="B4:L4"/>
    <mergeCell ref="B3:L3"/>
    <mergeCell ref="B23:L2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L22"/>
  <sheetViews>
    <sheetView showGridLines="0" zoomScale="90" zoomScaleNormal="90" zoomScaleSheetLayoutView="75" zoomScalePageLayoutView="0" workbookViewId="0" topLeftCell="A1">
      <pane xSplit="59" ySplit="4" topLeftCell="BH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K22" sqref="BK22"/>
    </sheetView>
  </sheetViews>
  <sheetFormatPr defaultColWidth="12.7109375" defaultRowHeight="19.5" customHeight="1"/>
  <cols>
    <col min="1" max="1" width="12.7109375" style="31" customWidth="1"/>
    <col min="2" max="2" width="46.28125" style="31" customWidth="1"/>
    <col min="3" max="61" width="12.7109375" style="31" hidden="1" customWidth="1"/>
    <col min="62" max="81" width="12.7109375" style="31" customWidth="1"/>
    <col min="82" max="16384" width="12.7109375" style="31" customWidth="1"/>
  </cols>
  <sheetData>
    <row r="2" spans="1:48" ht="19.5" customHeight="1">
      <c r="A2" s="96"/>
      <c r="B2" s="97" t="s">
        <v>119</v>
      </c>
      <c r="C2" s="98"/>
      <c r="D2" s="98"/>
      <c r="E2" s="98"/>
      <c r="F2" s="99"/>
      <c r="G2" s="100"/>
      <c r="H2" s="99"/>
      <c r="I2" s="100"/>
      <c r="J2" s="100"/>
      <c r="K2" s="99"/>
      <c r="L2" s="99"/>
      <c r="M2" s="100"/>
      <c r="N2" s="100"/>
      <c r="O2" s="101"/>
      <c r="P2" s="100"/>
      <c r="Q2" s="99"/>
      <c r="R2" s="100"/>
      <c r="S2" s="100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1:90" ht="19.5" customHeight="1" thickBot="1">
      <c r="A3" s="96"/>
      <c r="B3" s="289"/>
      <c r="C3" s="87"/>
      <c r="D3" s="87"/>
      <c r="E3" s="87"/>
      <c r="F3" s="88"/>
      <c r="G3" s="88"/>
      <c r="H3" s="88"/>
      <c r="I3" s="89"/>
      <c r="J3" s="89"/>
      <c r="K3" s="88"/>
      <c r="L3" s="88"/>
      <c r="M3" s="89"/>
      <c r="N3" s="89"/>
      <c r="O3" s="90"/>
      <c r="P3" s="89"/>
      <c r="Q3" s="88"/>
      <c r="R3" s="89"/>
      <c r="S3" s="89"/>
      <c r="T3" s="91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314">
        <v>2008</v>
      </c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6"/>
      <c r="BV3" s="314">
        <v>2009</v>
      </c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8"/>
      <c r="CH3" s="314">
        <v>2010</v>
      </c>
      <c r="CI3" s="319"/>
      <c r="CJ3" s="319"/>
      <c r="CK3" s="319"/>
      <c r="CL3" s="320"/>
    </row>
    <row r="4" spans="1:90" ht="19.5" customHeight="1" thickBot="1">
      <c r="A4" s="96"/>
      <c r="B4" s="203"/>
      <c r="C4" s="204">
        <v>37655</v>
      </c>
      <c r="D4" s="204">
        <v>37681</v>
      </c>
      <c r="E4" s="204">
        <v>37712</v>
      </c>
      <c r="F4" s="204">
        <v>37742</v>
      </c>
      <c r="G4" s="204">
        <v>37773</v>
      </c>
      <c r="H4" s="204">
        <v>37803</v>
      </c>
      <c r="I4" s="204">
        <v>37834</v>
      </c>
      <c r="J4" s="204">
        <v>37865</v>
      </c>
      <c r="K4" s="204">
        <v>37895</v>
      </c>
      <c r="L4" s="204">
        <v>37926</v>
      </c>
      <c r="M4" s="204">
        <v>37956</v>
      </c>
      <c r="N4" s="204">
        <v>37987</v>
      </c>
      <c r="O4" s="205">
        <v>38018</v>
      </c>
      <c r="P4" s="204">
        <v>38047</v>
      </c>
      <c r="Q4" s="204">
        <v>38078</v>
      </c>
      <c r="R4" s="204">
        <v>38108</v>
      </c>
      <c r="S4" s="204">
        <v>38139</v>
      </c>
      <c r="T4" s="204">
        <v>38169</v>
      </c>
      <c r="U4" s="204">
        <v>38200</v>
      </c>
      <c r="V4" s="204">
        <v>38231</v>
      </c>
      <c r="W4" s="204">
        <v>38261</v>
      </c>
      <c r="X4" s="204">
        <v>38292</v>
      </c>
      <c r="Y4" s="204">
        <v>38322</v>
      </c>
      <c r="Z4" s="204">
        <v>38353</v>
      </c>
      <c r="AA4" s="204">
        <v>38384</v>
      </c>
      <c r="AB4" s="204">
        <v>38412</v>
      </c>
      <c r="AC4" s="204">
        <v>38443</v>
      </c>
      <c r="AD4" s="204">
        <v>38473</v>
      </c>
      <c r="AE4" s="204">
        <v>38504</v>
      </c>
      <c r="AF4" s="204">
        <v>38534</v>
      </c>
      <c r="AG4" s="204">
        <v>38565</v>
      </c>
      <c r="AH4" s="204">
        <v>38596</v>
      </c>
      <c r="AI4" s="204">
        <v>38626</v>
      </c>
      <c r="AJ4" s="204">
        <v>38657</v>
      </c>
      <c r="AK4" s="204">
        <v>38687</v>
      </c>
      <c r="AL4" s="204">
        <v>38718</v>
      </c>
      <c r="AM4" s="204">
        <v>38749</v>
      </c>
      <c r="AN4" s="204">
        <v>38777</v>
      </c>
      <c r="AO4" s="204">
        <v>38808</v>
      </c>
      <c r="AP4" s="204">
        <v>38838</v>
      </c>
      <c r="AQ4" s="204">
        <v>38869</v>
      </c>
      <c r="AR4" s="204">
        <v>38929</v>
      </c>
      <c r="AS4" s="204">
        <v>38960</v>
      </c>
      <c r="AT4" s="204">
        <v>38990</v>
      </c>
      <c r="AU4" s="204">
        <v>39021</v>
      </c>
      <c r="AV4" s="204">
        <v>39051</v>
      </c>
      <c r="AW4" s="204">
        <v>39082</v>
      </c>
      <c r="AX4" s="206">
        <v>39113</v>
      </c>
      <c r="AY4" s="206">
        <v>39141</v>
      </c>
      <c r="AZ4" s="206">
        <v>39172</v>
      </c>
      <c r="BA4" s="206">
        <v>39202</v>
      </c>
      <c r="BB4" s="206">
        <v>39233</v>
      </c>
      <c r="BC4" s="206">
        <v>39263</v>
      </c>
      <c r="BD4" s="206">
        <v>39294</v>
      </c>
      <c r="BE4" s="206">
        <v>39325</v>
      </c>
      <c r="BF4" s="206">
        <v>39355</v>
      </c>
      <c r="BG4" s="206">
        <v>39386</v>
      </c>
      <c r="BH4" s="206">
        <v>39416</v>
      </c>
      <c r="BI4" s="206">
        <v>39447</v>
      </c>
      <c r="BJ4" s="206" t="s">
        <v>173</v>
      </c>
      <c r="BK4" s="206" t="s">
        <v>174</v>
      </c>
      <c r="BL4" s="206" t="s">
        <v>175</v>
      </c>
      <c r="BM4" s="206" t="s">
        <v>176</v>
      </c>
      <c r="BN4" s="206" t="s">
        <v>175</v>
      </c>
      <c r="BO4" s="206" t="s">
        <v>173</v>
      </c>
      <c r="BP4" s="206" t="s">
        <v>173</v>
      </c>
      <c r="BQ4" s="206" t="s">
        <v>176</v>
      </c>
      <c r="BR4" s="206" t="s">
        <v>177</v>
      </c>
      <c r="BS4" s="206" t="s">
        <v>178</v>
      </c>
      <c r="BT4" s="206" t="s">
        <v>179</v>
      </c>
      <c r="BU4" s="206" t="s">
        <v>180</v>
      </c>
      <c r="BV4" s="206" t="s">
        <v>173</v>
      </c>
      <c r="BW4" s="206" t="s">
        <v>174</v>
      </c>
      <c r="BX4" s="206" t="s">
        <v>175</v>
      </c>
      <c r="BY4" s="206" t="s">
        <v>176</v>
      </c>
      <c r="BZ4" s="206" t="s">
        <v>175</v>
      </c>
      <c r="CA4" s="206" t="s">
        <v>173</v>
      </c>
      <c r="CB4" s="206" t="s">
        <v>173</v>
      </c>
      <c r="CC4" s="206" t="s">
        <v>176</v>
      </c>
      <c r="CD4" s="206" t="s">
        <v>177</v>
      </c>
      <c r="CE4" s="206" t="s">
        <v>178</v>
      </c>
      <c r="CF4" s="206" t="s">
        <v>179</v>
      </c>
      <c r="CG4" s="206" t="s">
        <v>180</v>
      </c>
      <c r="CH4" s="206" t="s">
        <v>173</v>
      </c>
      <c r="CI4" s="206" t="s">
        <v>174</v>
      </c>
      <c r="CJ4" s="206" t="s">
        <v>175</v>
      </c>
      <c r="CK4" s="206" t="s">
        <v>176</v>
      </c>
      <c r="CL4" s="206" t="s">
        <v>175</v>
      </c>
    </row>
    <row r="5" spans="1:90" ht="19.5" customHeight="1">
      <c r="A5" s="123"/>
      <c r="B5" s="207" t="s">
        <v>80</v>
      </c>
      <c r="C5" s="208"/>
      <c r="D5" s="208"/>
      <c r="E5" s="209"/>
      <c r="F5" s="210"/>
      <c r="G5" s="210"/>
      <c r="H5" s="210"/>
      <c r="I5" s="210"/>
      <c r="J5" s="210"/>
      <c r="K5" s="210"/>
      <c r="L5" s="210"/>
      <c r="M5" s="211"/>
      <c r="N5" s="210"/>
      <c r="O5" s="212"/>
      <c r="P5" s="213"/>
      <c r="Q5" s="210"/>
      <c r="R5" s="213"/>
      <c r="S5" s="213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</row>
    <row r="6" spans="1:90" ht="19.5" customHeight="1">
      <c r="A6" s="96"/>
      <c r="B6" s="207"/>
      <c r="C6" s="208"/>
      <c r="D6" s="208"/>
      <c r="E6" s="209"/>
      <c r="F6" s="210"/>
      <c r="G6" s="210"/>
      <c r="H6" s="210"/>
      <c r="I6" s="210"/>
      <c r="J6" s="210"/>
      <c r="K6" s="210"/>
      <c r="L6" s="210"/>
      <c r="M6" s="211"/>
      <c r="N6" s="210"/>
      <c r="O6" s="212"/>
      <c r="P6" s="213"/>
      <c r="Q6" s="210"/>
      <c r="R6" s="213"/>
      <c r="S6" s="213"/>
      <c r="T6" s="214"/>
      <c r="U6" s="213"/>
      <c r="V6" s="213"/>
      <c r="W6" s="213"/>
      <c r="X6" s="213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</row>
    <row r="7" spans="2:90" ht="19.5" customHeight="1">
      <c r="B7" s="207" t="s">
        <v>107</v>
      </c>
      <c r="C7" s="215">
        <v>2595.44027685</v>
      </c>
      <c r="D7" s="215">
        <v>2187.8368766900003</v>
      </c>
      <c r="E7" s="215">
        <v>2272.4872471500003</v>
      </c>
      <c r="F7" s="216">
        <v>2113.36340838</v>
      </c>
      <c r="G7" s="216">
        <v>2165.8</v>
      </c>
      <c r="H7" s="217">
        <v>2129.6</v>
      </c>
      <c r="I7" s="210">
        <v>1891</v>
      </c>
      <c r="J7" s="216">
        <v>2181.2</v>
      </c>
      <c r="K7" s="216">
        <v>2467.9</v>
      </c>
      <c r="L7" s="216">
        <v>2091</v>
      </c>
      <c r="M7" s="218">
        <v>2110.3</v>
      </c>
      <c r="N7" s="216">
        <v>2710.8702829799995</v>
      </c>
      <c r="O7" s="219">
        <v>1935.4129830699999</v>
      </c>
      <c r="P7" s="220">
        <v>1824.1042653499997</v>
      </c>
      <c r="Q7" s="210">
        <v>2395.6</v>
      </c>
      <c r="R7" s="210">
        <v>1860.4</v>
      </c>
      <c r="S7" s="210">
        <v>1783.2</v>
      </c>
      <c r="T7" s="210">
        <v>1984.6</v>
      </c>
      <c r="U7" s="210">
        <v>1989.9</v>
      </c>
      <c r="V7" s="210">
        <v>1808.2</v>
      </c>
      <c r="W7" s="210">
        <v>2207.6</v>
      </c>
      <c r="X7" s="210">
        <v>1987.9</v>
      </c>
      <c r="Y7" s="210">
        <v>1977.3</v>
      </c>
      <c r="Z7" s="210">
        <v>2327.5</v>
      </c>
      <c r="AA7" s="210">
        <v>2029.5</v>
      </c>
      <c r="AB7" s="210">
        <v>1912.6</v>
      </c>
      <c r="AC7" s="210">
        <v>2303.8</v>
      </c>
      <c r="AD7" s="210">
        <v>2107.1</v>
      </c>
      <c r="AE7" s="210">
        <v>1874.1</v>
      </c>
      <c r="AF7" s="210">
        <v>2354.7</v>
      </c>
      <c r="AG7" s="210">
        <v>2159.1</v>
      </c>
      <c r="AH7" s="210">
        <v>1818.2</v>
      </c>
      <c r="AI7" s="216">
        <v>2245</v>
      </c>
      <c r="AJ7" s="216">
        <v>1902.22246</v>
      </c>
      <c r="AK7" s="216">
        <v>1983.9</v>
      </c>
      <c r="AL7" s="216">
        <v>2705.5</v>
      </c>
      <c r="AM7" s="216">
        <v>2696</v>
      </c>
      <c r="AN7" s="216">
        <v>2458.1</v>
      </c>
      <c r="AO7" s="216">
        <v>3129.7</v>
      </c>
      <c r="AP7" s="216">
        <v>2973</v>
      </c>
      <c r="AQ7" s="216">
        <v>2677.9</v>
      </c>
      <c r="AR7" s="216">
        <v>3313.1</v>
      </c>
      <c r="AS7" s="216">
        <v>2760.7</v>
      </c>
      <c r="AT7" s="216">
        <v>3119.2</v>
      </c>
      <c r="AU7" s="216">
        <v>4104.4</v>
      </c>
      <c r="AV7" s="216">
        <v>3495.2</v>
      </c>
      <c r="AW7" s="216">
        <v>3164.3</v>
      </c>
      <c r="AX7" s="216">
        <v>4865.6</v>
      </c>
      <c r="AY7" s="216">
        <v>4466.4</v>
      </c>
      <c r="AZ7" s="216">
        <v>5690</v>
      </c>
      <c r="BA7" s="216">
        <v>6260.1</v>
      </c>
      <c r="BB7" s="221">
        <v>5643.8</v>
      </c>
      <c r="BC7" s="222">
        <v>6085.3</v>
      </c>
      <c r="BD7" s="222">
        <v>7455.9</v>
      </c>
      <c r="BE7" s="222">
        <v>6359</v>
      </c>
      <c r="BF7" s="222">
        <v>5868.650081049999</v>
      </c>
      <c r="BG7" s="222">
        <v>6499.853570999999</v>
      </c>
      <c r="BH7" s="222">
        <v>6257.02633294</v>
      </c>
      <c r="BI7" s="222">
        <v>6743.949222620002</v>
      </c>
      <c r="BJ7" s="222">
        <v>8497.90853458</v>
      </c>
      <c r="BK7" s="222">
        <v>8656.654479950002</v>
      </c>
      <c r="BL7" s="222">
        <v>8900.78</v>
      </c>
      <c r="BM7" s="222">
        <v>9949.63092274</v>
      </c>
      <c r="BN7" s="222">
        <v>9441.90025126</v>
      </c>
      <c r="BO7" s="222">
        <v>9697.814715469998</v>
      </c>
      <c r="BP7" s="222">
        <v>11758.2039831</v>
      </c>
      <c r="BQ7" s="222">
        <v>10730.849802119998</v>
      </c>
      <c r="BR7" s="222">
        <v>10942.098551590001</v>
      </c>
      <c r="BS7" s="222">
        <v>13805.317071959998</v>
      </c>
      <c r="BT7" s="222">
        <v>12725.77199603</v>
      </c>
      <c r="BU7" s="223">
        <v>12857.52677013</v>
      </c>
      <c r="BV7" s="223">
        <v>14524</v>
      </c>
      <c r="BW7" s="223">
        <v>13779</v>
      </c>
      <c r="BX7" s="223">
        <v>14136.3</v>
      </c>
      <c r="BY7" s="223">
        <v>14561.206</v>
      </c>
      <c r="BZ7" s="223">
        <v>14205.63</v>
      </c>
      <c r="CA7" s="223">
        <v>13206.787</v>
      </c>
      <c r="CB7" s="223">
        <v>13706.835257</v>
      </c>
      <c r="CC7" s="223">
        <v>13840</v>
      </c>
      <c r="CD7" s="223">
        <v>14719.96</v>
      </c>
      <c r="CE7" s="223">
        <v>15827.33</v>
      </c>
      <c r="CF7" s="223">
        <v>14317.35</v>
      </c>
      <c r="CG7" s="223">
        <v>13828.2</v>
      </c>
      <c r="CH7" s="223">
        <v>14584.6</v>
      </c>
      <c r="CI7" s="223">
        <v>14462.02</v>
      </c>
      <c r="CJ7" s="223">
        <v>12874.95</v>
      </c>
      <c r="CK7" s="223">
        <v>13495.17</v>
      </c>
      <c r="CL7" s="223">
        <v>12702.6</v>
      </c>
    </row>
    <row r="8" spans="2:90" ht="19.5" customHeight="1">
      <c r="B8" s="207" t="s">
        <v>28</v>
      </c>
      <c r="C8" s="224"/>
      <c r="D8" s="224">
        <f>D7-C7</f>
        <v>-407.60340015999964</v>
      </c>
      <c r="E8" s="224">
        <f>E7-D7</f>
        <v>84.65037045999998</v>
      </c>
      <c r="F8" s="224">
        <f>F7-E7</f>
        <v>-159.12383877000048</v>
      </c>
      <c r="G8" s="224">
        <f aca="true" t="shared" si="0" ref="G8:AG8">G7-F7</f>
        <v>52.4365916200004</v>
      </c>
      <c r="H8" s="224">
        <f t="shared" si="0"/>
        <v>-36.20000000000027</v>
      </c>
      <c r="I8" s="224">
        <f t="shared" si="0"/>
        <v>-238.5999999999999</v>
      </c>
      <c r="J8" s="224">
        <f t="shared" si="0"/>
        <v>290.1999999999998</v>
      </c>
      <c r="K8" s="224">
        <f t="shared" si="0"/>
        <v>286.7000000000003</v>
      </c>
      <c r="L8" s="224">
        <f t="shared" si="0"/>
        <v>-376.9000000000001</v>
      </c>
      <c r="M8" s="224">
        <f t="shared" si="0"/>
        <v>19.300000000000182</v>
      </c>
      <c r="N8" s="224">
        <f t="shared" si="0"/>
        <v>600.5702829799993</v>
      </c>
      <c r="O8" s="225">
        <f t="shared" si="0"/>
        <v>-775.4572999099996</v>
      </c>
      <c r="P8" s="217">
        <f t="shared" si="0"/>
        <v>-111.30871772000023</v>
      </c>
      <c r="Q8" s="217">
        <f t="shared" si="0"/>
        <v>571.4957346500003</v>
      </c>
      <c r="R8" s="217">
        <f t="shared" si="0"/>
        <v>-535.1999999999998</v>
      </c>
      <c r="S8" s="217">
        <f t="shared" si="0"/>
        <v>-77.20000000000005</v>
      </c>
      <c r="T8" s="217">
        <f t="shared" si="0"/>
        <v>201.39999999999986</v>
      </c>
      <c r="U8" s="217">
        <f t="shared" si="0"/>
        <v>5.300000000000182</v>
      </c>
      <c r="V8" s="217">
        <f t="shared" si="0"/>
        <v>-181.70000000000005</v>
      </c>
      <c r="W8" s="217">
        <f t="shared" si="0"/>
        <v>399.39999999999986</v>
      </c>
      <c r="X8" s="217">
        <f t="shared" si="0"/>
        <v>-219.69999999999982</v>
      </c>
      <c r="Y8" s="217">
        <f t="shared" si="0"/>
        <v>-10.600000000000136</v>
      </c>
      <c r="Z8" s="217">
        <f t="shared" si="0"/>
        <v>350.20000000000005</v>
      </c>
      <c r="AA8" s="217">
        <f t="shared" si="0"/>
        <v>-298</v>
      </c>
      <c r="AB8" s="217">
        <f t="shared" si="0"/>
        <v>-116.90000000000009</v>
      </c>
      <c r="AC8" s="217">
        <f t="shared" si="0"/>
        <v>391.2000000000003</v>
      </c>
      <c r="AD8" s="217">
        <f t="shared" si="0"/>
        <v>-196.70000000000027</v>
      </c>
      <c r="AE8" s="217">
        <f t="shared" si="0"/>
        <v>-233</v>
      </c>
      <c r="AF8" s="217">
        <f t="shared" si="0"/>
        <v>480.5999999999999</v>
      </c>
      <c r="AG8" s="217">
        <f t="shared" si="0"/>
        <v>-195.5999999999999</v>
      </c>
      <c r="AH8" s="217">
        <f aca="true" t="shared" si="1" ref="AH8:BO8">AH7-AG7</f>
        <v>-340.89999999999986</v>
      </c>
      <c r="AI8" s="217">
        <f t="shared" si="1"/>
        <v>426.79999999999995</v>
      </c>
      <c r="AJ8" s="217">
        <f t="shared" si="1"/>
        <v>-342.77754000000004</v>
      </c>
      <c r="AK8" s="217">
        <f t="shared" si="1"/>
        <v>81.67754000000014</v>
      </c>
      <c r="AL8" s="217">
        <f t="shared" si="1"/>
        <v>721.5999999999999</v>
      </c>
      <c r="AM8" s="217">
        <f t="shared" si="1"/>
        <v>-9.5</v>
      </c>
      <c r="AN8" s="217">
        <f t="shared" si="1"/>
        <v>-237.9000000000001</v>
      </c>
      <c r="AO8" s="217">
        <f t="shared" si="1"/>
        <v>671.5999999999999</v>
      </c>
      <c r="AP8" s="217">
        <f t="shared" si="1"/>
        <v>-156.69999999999982</v>
      </c>
      <c r="AQ8" s="217">
        <f t="shared" si="1"/>
        <v>-295.0999999999999</v>
      </c>
      <c r="AR8" s="217">
        <f t="shared" si="1"/>
        <v>635.1999999999998</v>
      </c>
      <c r="AS8" s="217">
        <f t="shared" si="1"/>
        <v>-552.4000000000001</v>
      </c>
      <c r="AT8" s="217">
        <f t="shared" si="1"/>
        <v>358.5</v>
      </c>
      <c r="AU8" s="217">
        <f t="shared" si="1"/>
        <v>985.1999999999998</v>
      </c>
      <c r="AV8" s="217">
        <f t="shared" si="1"/>
        <v>-609.1999999999998</v>
      </c>
      <c r="AW8" s="217">
        <f t="shared" si="1"/>
        <v>-330.89999999999964</v>
      </c>
      <c r="AX8" s="217">
        <f t="shared" si="1"/>
        <v>1701.3000000000002</v>
      </c>
      <c r="AY8" s="217">
        <f t="shared" si="1"/>
        <v>-399.2000000000007</v>
      </c>
      <c r="AZ8" s="217">
        <f t="shared" si="1"/>
        <v>1223.6000000000004</v>
      </c>
      <c r="BA8" s="217">
        <f t="shared" si="1"/>
        <v>570.1000000000004</v>
      </c>
      <c r="BB8" s="226">
        <f t="shared" si="1"/>
        <v>-616.3000000000002</v>
      </c>
      <c r="BC8" s="227">
        <f t="shared" si="1"/>
        <v>441.5</v>
      </c>
      <c r="BD8" s="227">
        <f t="shared" si="1"/>
        <v>1370.5999999999995</v>
      </c>
      <c r="BE8" s="227">
        <f t="shared" si="1"/>
        <v>-1096.8999999999996</v>
      </c>
      <c r="BF8" s="227">
        <f t="shared" si="1"/>
        <v>-490.34991895000076</v>
      </c>
      <c r="BG8" s="227">
        <f t="shared" si="1"/>
        <v>631.2034899499995</v>
      </c>
      <c r="BH8" s="227">
        <f t="shared" si="1"/>
        <v>-242.8272380599983</v>
      </c>
      <c r="BI8" s="227">
        <f t="shared" si="1"/>
        <v>486.9228896800014</v>
      </c>
      <c r="BJ8" s="227">
        <f t="shared" si="1"/>
        <v>1753.9593119599976</v>
      </c>
      <c r="BK8" s="227">
        <f t="shared" si="1"/>
        <v>158.74594537000303</v>
      </c>
      <c r="BL8" s="227">
        <f t="shared" si="1"/>
        <v>244.12552004999816</v>
      </c>
      <c r="BM8" s="227">
        <f t="shared" si="1"/>
        <v>1048.850922739999</v>
      </c>
      <c r="BN8" s="227">
        <f t="shared" si="1"/>
        <v>-507.7306714799997</v>
      </c>
      <c r="BO8" s="227">
        <f t="shared" si="1"/>
        <v>255.9144642099982</v>
      </c>
      <c r="BP8" s="227">
        <f aca="true" t="shared" si="2" ref="BP8:BZ8">BP7-BO7</f>
        <v>2060.389267630002</v>
      </c>
      <c r="BQ8" s="227">
        <f t="shared" si="2"/>
        <v>-1027.3541809800026</v>
      </c>
      <c r="BR8" s="227">
        <f t="shared" si="2"/>
        <v>211.24874947000353</v>
      </c>
      <c r="BS8" s="227">
        <f t="shared" si="2"/>
        <v>2863.2185203699973</v>
      </c>
      <c r="BT8" s="227">
        <f t="shared" si="2"/>
        <v>-1079.5450759299983</v>
      </c>
      <c r="BU8" s="223">
        <f t="shared" si="2"/>
        <v>131.75477409999985</v>
      </c>
      <c r="BV8" s="223">
        <f t="shared" si="2"/>
        <v>1666.47322987</v>
      </c>
      <c r="BW8" s="228">
        <f t="shared" si="2"/>
        <v>-745</v>
      </c>
      <c r="BX8" s="229">
        <f t="shared" si="2"/>
        <v>357.2999999999993</v>
      </c>
      <c r="BY8" s="229">
        <f t="shared" si="2"/>
        <v>424.90600000000086</v>
      </c>
      <c r="BZ8" s="230">
        <f t="shared" si="2"/>
        <v>-355.57600000000093</v>
      </c>
      <c r="CA8" s="230">
        <v>-998.84</v>
      </c>
      <c r="CB8" s="230">
        <f aca="true" t="shared" si="3" ref="CB8:CL8">CB7-CA7</f>
        <v>500.0482570000004</v>
      </c>
      <c r="CC8" s="230">
        <f t="shared" si="3"/>
        <v>133.16474299999936</v>
      </c>
      <c r="CD8" s="230">
        <f t="shared" si="3"/>
        <v>879.9599999999991</v>
      </c>
      <c r="CE8" s="230">
        <f t="shared" si="3"/>
        <v>1107.3700000000008</v>
      </c>
      <c r="CF8" s="230">
        <f t="shared" si="3"/>
        <v>-1509.9799999999996</v>
      </c>
      <c r="CG8" s="230">
        <f t="shared" si="3"/>
        <v>-489.14999999999964</v>
      </c>
      <c r="CH8" s="230">
        <f t="shared" si="3"/>
        <v>756.3999999999996</v>
      </c>
      <c r="CI8" s="230">
        <f t="shared" si="3"/>
        <v>-122.57999999999993</v>
      </c>
      <c r="CJ8" s="230">
        <f t="shared" si="3"/>
        <v>-1587.0699999999997</v>
      </c>
      <c r="CK8" s="230">
        <f t="shared" si="3"/>
        <v>620.2199999999993</v>
      </c>
      <c r="CL8" s="230">
        <f t="shared" si="3"/>
        <v>-792.5699999999997</v>
      </c>
    </row>
    <row r="9" spans="2:90" ht="19.5" customHeight="1">
      <c r="B9" s="207"/>
      <c r="C9" s="208"/>
      <c r="D9" s="208"/>
      <c r="E9" s="208"/>
      <c r="F9" s="210"/>
      <c r="G9" s="210"/>
      <c r="H9" s="210"/>
      <c r="I9" s="210"/>
      <c r="J9" s="210"/>
      <c r="K9" s="210"/>
      <c r="L9" s="210"/>
      <c r="M9" s="211"/>
      <c r="N9" s="210"/>
      <c r="O9" s="212"/>
      <c r="P9" s="213"/>
      <c r="Q9" s="210"/>
      <c r="R9" s="213"/>
      <c r="S9" s="213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2"/>
      <c r="BV9" s="232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</row>
    <row r="10" spans="2:90" ht="19.5" customHeight="1">
      <c r="B10" s="207" t="s">
        <v>40</v>
      </c>
      <c r="C10" s="208"/>
      <c r="D10" s="208"/>
      <c r="E10" s="208"/>
      <c r="F10" s="210"/>
      <c r="G10" s="210"/>
      <c r="H10" s="210"/>
      <c r="I10" s="210"/>
      <c r="J10" s="210"/>
      <c r="K10" s="210"/>
      <c r="L10" s="210"/>
      <c r="M10" s="211"/>
      <c r="N10" s="210"/>
      <c r="O10" s="212"/>
      <c r="P10" s="213"/>
      <c r="Q10" s="210"/>
      <c r="R10" s="213"/>
      <c r="S10" s="213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2"/>
      <c r="BV10" s="232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</row>
    <row r="11" spans="2:90" ht="19.5" customHeight="1">
      <c r="B11" s="207"/>
      <c r="C11" s="208"/>
      <c r="D11" s="208"/>
      <c r="E11" s="208"/>
      <c r="F11" s="210"/>
      <c r="G11" s="210"/>
      <c r="H11" s="210"/>
      <c r="I11" s="210"/>
      <c r="J11" s="210"/>
      <c r="K11" s="210"/>
      <c r="L11" s="210"/>
      <c r="M11" s="211"/>
      <c r="N11" s="210"/>
      <c r="O11" s="212"/>
      <c r="P11" s="213"/>
      <c r="Q11" s="210"/>
      <c r="R11" s="213"/>
      <c r="S11" s="213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2"/>
      <c r="BV11" s="232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</row>
    <row r="12" spans="2:90" ht="19.5" customHeight="1">
      <c r="B12" s="207" t="s">
        <v>29</v>
      </c>
      <c r="C12" s="208"/>
      <c r="D12" s="208">
        <v>8.0439</v>
      </c>
      <c r="E12" s="208">
        <v>7.7068</v>
      </c>
      <c r="F12" s="233">
        <v>7.6652</v>
      </c>
      <c r="G12" s="233">
        <v>7.9027</v>
      </c>
      <c r="H12" s="233">
        <v>7.5401</v>
      </c>
      <c r="I12" s="210">
        <v>7.3922</v>
      </c>
      <c r="J12" s="210">
        <v>7.3246</v>
      </c>
      <c r="K12" s="210">
        <v>6.9637</v>
      </c>
      <c r="L12" s="210">
        <v>6.7287</v>
      </c>
      <c r="M12" s="211">
        <v>6.5159</v>
      </c>
      <c r="N12" s="210">
        <v>6.9179</v>
      </c>
      <c r="O12" s="211">
        <v>6.7686</v>
      </c>
      <c r="P12" s="210">
        <v>6.6633</v>
      </c>
      <c r="Q12" s="210">
        <v>6.5537</v>
      </c>
      <c r="R12" s="210">
        <v>6.7821</v>
      </c>
      <c r="S12" s="210">
        <v>6.4381</v>
      </c>
      <c r="T12" s="234">
        <v>6.1287</v>
      </c>
      <c r="U12" s="210">
        <v>6.4575</v>
      </c>
      <c r="V12" s="210">
        <v>6.5469</v>
      </c>
      <c r="W12" s="210">
        <v>6.3876</v>
      </c>
      <c r="X12" s="210">
        <v>6.0558</v>
      </c>
      <c r="Y12" s="210">
        <v>5.7323</v>
      </c>
      <c r="Z12" s="210">
        <v>5.9698</v>
      </c>
      <c r="AA12" s="210">
        <v>6.0161</v>
      </c>
      <c r="AB12" s="210">
        <v>6.323</v>
      </c>
      <c r="AC12" s="210">
        <v>6.1521</v>
      </c>
      <c r="AD12" s="210">
        <v>6.3314</v>
      </c>
      <c r="AE12" s="234">
        <v>6.75</v>
      </c>
      <c r="AF12" s="234">
        <v>6.7035</v>
      </c>
      <c r="AG12" s="234">
        <v>6.465</v>
      </c>
      <c r="AH12" s="234">
        <v>6.3578</v>
      </c>
      <c r="AI12" s="234">
        <v>6.5766</v>
      </c>
      <c r="AJ12" s="234">
        <v>6.521</v>
      </c>
      <c r="AK12" s="234">
        <v>6.3591</v>
      </c>
      <c r="AL12" s="234">
        <v>6.0891</v>
      </c>
      <c r="AM12" s="234">
        <v>6.1177</v>
      </c>
      <c r="AN12" s="234">
        <v>6.2544</v>
      </c>
      <c r="AO12" s="234">
        <v>6.072</v>
      </c>
      <c r="AP12" s="234">
        <v>6.3199</v>
      </c>
      <c r="AQ12" s="234">
        <v>6.9549</v>
      </c>
      <c r="AR12" s="234">
        <v>7.0843</v>
      </c>
      <c r="AS12" s="234">
        <v>6.9553</v>
      </c>
      <c r="AT12" s="234">
        <v>7.4098</v>
      </c>
      <c r="AU12" s="234">
        <v>7.6492</v>
      </c>
      <c r="AV12" s="234">
        <v>7.2586</v>
      </c>
      <c r="AW12" s="234">
        <v>7.0406</v>
      </c>
      <c r="AX12" s="234">
        <v>7.1838</v>
      </c>
      <c r="AY12" s="234">
        <v>7.1698</v>
      </c>
      <c r="AZ12" s="234">
        <v>7.3514</v>
      </c>
      <c r="BA12" s="234">
        <v>7.1216</v>
      </c>
      <c r="BB12" s="235">
        <v>7.0187</v>
      </c>
      <c r="BC12" s="235">
        <v>7.1718</v>
      </c>
      <c r="BD12" s="235">
        <v>6.973</v>
      </c>
      <c r="BE12" s="235">
        <v>7.2334</v>
      </c>
      <c r="BF12" s="235">
        <v>7.1282</v>
      </c>
      <c r="BG12" s="235">
        <v>6.7729</v>
      </c>
      <c r="BH12" s="235">
        <v>6.701</v>
      </c>
      <c r="BI12" s="235">
        <v>6.8271</v>
      </c>
      <c r="BJ12" s="235">
        <v>6.9874</v>
      </c>
      <c r="BK12" s="235">
        <v>7.6386</v>
      </c>
      <c r="BL12" s="235">
        <v>7.9799</v>
      </c>
      <c r="BM12" s="235">
        <v>7.7933</v>
      </c>
      <c r="BN12" s="235">
        <v>7.6238</v>
      </c>
      <c r="BO12" s="235">
        <v>7.9188</v>
      </c>
      <c r="BP12" s="235">
        <v>7.6393</v>
      </c>
      <c r="BQ12" s="235">
        <v>7.6578</v>
      </c>
      <c r="BR12" s="235">
        <v>8.0472</v>
      </c>
      <c r="BS12" s="235">
        <v>9.6715</v>
      </c>
      <c r="BT12" s="235">
        <v>10.1177</v>
      </c>
      <c r="BU12" s="236">
        <v>9.9456</v>
      </c>
      <c r="BV12" s="236">
        <v>9.897</v>
      </c>
      <c r="BW12" s="237">
        <v>10.0062</v>
      </c>
      <c r="BX12" s="237">
        <v>9.9932</v>
      </c>
      <c r="BY12" s="237">
        <v>9.018</v>
      </c>
      <c r="BZ12" s="237">
        <v>8.3723</v>
      </c>
      <c r="CA12" s="237">
        <v>8.0518</v>
      </c>
      <c r="CB12" s="237">
        <v>7.9513</v>
      </c>
      <c r="CC12" s="237">
        <v>7.9415</v>
      </c>
      <c r="CD12" s="237">
        <v>7.5235</v>
      </c>
      <c r="CE12" s="237">
        <v>8.5235</v>
      </c>
      <c r="CF12" s="237">
        <v>7.506138</v>
      </c>
      <c r="CG12" s="237">
        <v>7.4894</v>
      </c>
      <c r="CH12" s="237">
        <v>7.4527</v>
      </c>
      <c r="CI12" s="237">
        <v>7.7585</v>
      </c>
      <c r="CJ12" s="237">
        <v>7.4258</v>
      </c>
      <c r="CK12" s="237">
        <v>7.3434</v>
      </c>
      <c r="CL12" s="237">
        <v>7.6332</v>
      </c>
    </row>
    <row r="13" spans="2:90" ht="19.5" customHeight="1">
      <c r="B13" s="207" t="s">
        <v>30</v>
      </c>
      <c r="C13" s="238"/>
      <c r="D13" s="238">
        <f>1/8.0439</f>
        <v>0.124317806039359</v>
      </c>
      <c r="E13" s="238">
        <f>1/7.7068</f>
        <v>0.12975554056158198</v>
      </c>
      <c r="F13" s="239">
        <f>1/7.6652</f>
        <v>0.13045974012419767</v>
      </c>
      <c r="G13" s="239">
        <f>1/7.9027</f>
        <v>0.12653903096410088</v>
      </c>
      <c r="H13" s="239">
        <f>1/7.5401</f>
        <v>0.1326242357528415</v>
      </c>
      <c r="I13" s="239">
        <f>1/7.3922</f>
        <v>0.13527772516977354</v>
      </c>
      <c r="J13" s="239">
        <f>1/7.3246</f>
        <v>0.1365262266881468</v>
      </c>
      <c r="K13" s="239">
        <f>1/6.9637</f>
        <v>0.14360182087108864</v>
      </c>
      <c r="L13" s="239">
        <f>1/6.7287</f>
        <v>0.14861711771961894</v>
      </c>
      <c r="M13" s="239">
        <f>1/6.5159</f>
        <v>0.15347074080326586</v>
      </c>
      <c r="N13" s="239">
        <f>1/6.9179</f>
        <v>0.14455253761979792</v>
      </c>
      <c r="O13" s="240">
        <f>1/6.7686</f>
        <v>0.14774103950595396</v>
      </c>
      <c r="P13" s="239">
        <f>1/6.6633</f>
        <v>0.1500757882730779</v>
      </c>
      <c r="Q13" s="239">
        <f>1/6.5537</f>
        <v>0.15258556235409004</v>
      </c>
      <c r="R13" s="239">
        <f>1/6.7821</f>
        <v>0.14744695595759427</v>
      </c>
      <c r="S13" s="239">
        <f>1/6.4381</f>
        <v>0.15532532890138395</v>
      </c>
      <c r="T13" s="239">
        <f>1/6.1287</f>
        <v>0.1631667400916997</v>
      </c>
      <c r="U13" s="239">
        <f>1/6.4575</f>
        <v>0.1548586914440573</v>
      </c>
      <c r="V13" s="239">
        <f>1/6.5469</f>
        <v>0.15274404680077594</v>
      </c>
      <c r="W13" s="239">
        <f>1/6.3876</f>
        <v>0.15655332206149414</v>
      </c>
      <c r="X13" s="239">
        <f>1/6.0558</f>
        <v>0.16513094884243207</v>
      </c>
      <c r="Y13" s="239">
        <f>1/5.7323</f>
        <v>0.17445004622926225</v>
      </c>
      <c r="Z13" s="239">
        <f>1/5.9698</f>
        <v>0.1675097993232604</v>
      </c>
      <c r="AA13" s="239">
        <f>1/6.0161</f>
        <v>0.16622064127923405</v>
      </c>
      <c r="AB13" s="239">
        <f>1/6.0101</f>
        <v>0.16638658258598024</v>
      </c>
      <c r="AC13" s="239">
        <f>1/6.1521</f>
        <v>0.16254612246224867</v>
      </c>
      <c r="AD13" s="239">
        <f>1/6.3314</f>
        <v>0.1579429510060966</v>
      </c>
      <c r="AE13" s="239">
        <f>1/6.75</f>
        <v>0.14814814814814814</v>
      </c>
      <c r="AF13" s="239">
        <f>1/6.7035</f>
        <v>0.14917580368464234</v>
      </c>
      <c r="AG13" s="239">
        <f>1/6.465</f>
        <v>0.15467904098994587</v>
      </c>
      <c r="AH13" s="239">
        <f>1/6.3578</f>
        <v>0.1572871118940514</v>
      </c>
      <c r="AI13" s="239">
        <f>1/6.5766</f>
        <v>0.15205425295745523</v>
      </c>
      <c r="AJ13" s="239">
        <f>1/6.521</f>
        <v>0.15335071308081583</v>
      </c>
      <c r="AK13" s="239">
        <f>1/6.3591</f>
        <v>0.157254957462534</v>
      </c>
      <c r="AL13" s="239">
        <f>1/6.0891</f>
        <v>0.1642278826099095</v>
      </c>
      <c r="AM13" s="239">
        <f>1/6.1177</f>
        <v>0.16346012390277392</v>
      </c>
      <c r="AN13" s="239">
        <f>1/6.2544</f>
        <v>0.15988743924277307</v>
      </c>
      <c r="AO13" s="239">
        <f>1/6.072</f>
        <v>0.16469038208168643</v>
      </c>
      <c r="AP13" s="239">
        <f>1/6.3199</f>
        <v>0.15823035174607195</v>
      </c>
      <c r="AQ13" s="239">
        <f>1/6.9549</f>
        <v>0.14378351953299112</v>
      </c>
      <c r="AR13" s="239">
        <f>1/7.0843</f>
        <v>0.14115720678119223</v>
      </c>
      <c r="AS13" s="239">
        <f>1/6.9553</f>
        <v>0.14377525052837403</v>
      </c>
      <c r="AT13" s="239">
        <f>1/7.4098</f>
        <v>0.1349564090798672</v>
      </c>
      <c r="AU13" s="239">
        <f>1/7.6492</f>
        <v>0.13073262563405322</v>
      </c>
      <c r="AV13" s="239">
        <f>1/7.2586</f>
        <v>0.1377676135893974</v>
      </c>
      <c r="AW13" s="239">
        <f>1/7.0406</f>
        <v>0.14203334943044627</v>
      </c>
      <c r="AX13" s="239">
        <f>1/7.1838</f>
        <v>0.13920209359948774</v>
      </c>
      <c r="AY13" s="239">
        <f>1/7.1698</f>
        <v>0.13947390443248067</v>
      </c>
      <c r="AZ13" s="239">
        <f>1/7.3514</f>
        <v>0.13602851157602633</v>
      </c>
      <c r="BA13" s="239">
        <f>1/7.1216</f>
        <v>0.14041788362165805</v>
      </c>
      <c r="BB13" s="241">
        <f>1/7.0187</f>
        <v>0.14247652699217803</v>
      </c>
      <c r="BC13" s="241">
        <f>1/7.1718</f>
        <v>0.13943500934214562</v>
      </c>
      <c r="BD13" s="241">
        <f>1/6.973</f>
        <v>0.1434102968593145</v>
      </c>
      <c r="BE13" s="241">
        <f>1/7.2334</f>
        <v>0.1382475737550806</v>
      </c>
      <c r="BF13" s="241">
        <f>1/7.1282</f>
        <v>0.14028787071069837</v>
      </c>
      <c r="BG13" s="241">
        <f>1/6.7729</f>
        <v>0.14764724121129796</v>
      </c>
      <c r="BH13" s="241">
        <f>1/6.701</f>
        <v>0.14923145799134457</v>
      </c>
      <c r="BI13" s="241">
        <f>1/6.8271</f>
        <v>0.14647507726560327</v>
      </c>
      <c r="BJ13" s="241">
        <f>1/6.9871</f>
        <v>0.1431208942193471</v>
      </c>
      <c r="BK13" s="241">
        <f>1/7.6386</f>
        <v>0.13091404184012775</v>
      </c>
      <c r="BL13" s="241">
        <f>1/7.9799</f>
        <v>0.1253148535695936</v>
      </c>
      <c r="BM13" s="241">
        <f>1/7.7933</f>
        <v>0.1283153477987502</v>
      </c>
      <c r="BN13" s="241">
        <f>1/7.6238</f>
        <v>0.13116818384532647</v>
      </c>
      <c r="BO13" s="241">
        <f>1/7.9188</f>
        <v>0.12628175986260545</v>
      </c>
      <c r="BP13" s="241">
        <f>1/7.6393</f>
        <v>0.13090204599897895</v>
      </c>
      <c r="BQ13" s="241">
        <f>1/7.6578</f>
        <v>0.1305858079343937</v>
      </c>
      <c r="BR13" s="241">
        <f>1/8.0472</f>
        <v>0.12426682572820359</v>
      </c>
      <c r="BS13" s="241">
        <f>1/9.6715</f>
        <v>0.10339657757328233</v>
      </c>
      <c r="BT13" s="241">
        <f>1/10.1177</f>
        <v>0.09883669213358769</v>
      </c>
      <c r="BU13" s="236">
        <f>1/9.9456</f>
        <v>0.10054697554697554</v>
      </c>
      <c r="BV13" s="236">
        <f>1/9.897</f>
        <v>0.1010407194099222</v>
      </c>
      <c r="BW13" s="237">
        <f>1/10.006</f>
        <v>0.09994003597841294</v>
      </c>
      <c r="BX13" s="237">
        <f>1/9.9932</f>
        <v>0.1000680462714646</v>
      </c>
      <c r="BY13" s="237">
        <f>1/9.018</f>
        <v>0.11088933244621867</v>
      </c>
      <c r="BZ13" s="237">
        <f>1/8.3723</f>
        <v>0.11944149158534693</v>
      </c>
      <c r="CA13" s="237">
        <v>0.12419583198787848</v>
      </c>
      <c r="CB13" s="237">
        <f>1/7.9513</f>
        <v>0.12576559807830168</v>
      </c>
      <c r="CC13" s="237">
        <f>1/7.9415</f>
        <v>0.12592079581942958</v>
      </c>
      <c r="CD13" s="237">
        <f>1/7.5235</f>
        <v>0.1329168605037549</v>
      </c>
      <c r="CE13" s="237">
        <f>1/7.5235</f>
        <v>0.1329168605037549</v>
      </c>
      <c r="CF13" s="237">
        <f>1/7.5235</f>
        <v>0.1329168605037549</v>
      </c>
      <c r="CG13" s="237">
        <f>1/CG12</f>
        <v>0.13352204448954522</v>
      </c>
      <c r="CH13" s="237">
        <f>1/CH12</f>
        <v>0.13417955908596885</v>
      </c>
      <c r="CI13" s="237">
        <v>0.1289</v>
      </c>
      <c r="CJ13" s="237">
        <v>0.1347</v>
      </c>
      <c r="CK13" s="237">
        <v>0.1362</v>
      </c>
      <c r="CL13" s="237">
        <v>0.13100665513808102</v>
      </c>
    </row>
    <row r="14" spans="2:90" ht="19.5" customHeight="1" hidden="1">
      <c r="B14" s="207" t="s">
        <v>31</v>
      </c>
      <c r="C14" s="208"/>
      <c r="D14" s="208"/>
      <c r="E14" s="208"/>
      <c r="F14" s="233"/>
      <c r="G14" s="233"/>
      <c r="H14" s="233"/>
      <c r="I14" s="210"/>
      <c r="J14" s="210"/>
      <c r="K14" s="210"/>
      <c r="L14" s="210"/>
      <c r="M14" s="211"/>
      <c r="N14" s="210"/>
      <c r="O14" s="212"/>
      <c r="P14" s="213"/>
      <c r="Q14" s="210"/>
      <c r="R14" s="213"/>
      <c r="S14" s="213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6"/>
      <c r="BV14" s="236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</row>
    <row r="15" spans="2:90" ht="19.5" customHeight="1">
      <c r="B15" s="207" t="s">
        <v>32</v>
      </c>
      <c r="C15" s="238"/>
      <c r="D15" s="238">
        <f>1/12.7437</f>
        <v>0.07847014603294176</v>
      </c>
      <c r="E15" s="238">
        <f>1/12.124</f>
        <v>0.08248102936324644</v>
      </c>
      <c r="F15" s="239">
        <f>1/12.4393</f>
        <v>0.08039037566422548</v>
      </c>
      <c r="G15" s="239">
        <f>1/13.1219</f>
        <v>0.07620847590669035</v>
      </c>
      <c r="H15" s="239">
        <f>1/12.26</f>
        <v>0.08156606851549755</v>
      </c>
      <c r="I15" s="239">
        <f>1/11.7868</f>
        <v>0.08484066922319884</v>
      </c>
      <c r="J15" s="239">
        <f>1/11.702</f>
        <v>0.08545547769612032</v>
      </c>
      <c r="K15" s="239">
        <f>1/11.6744</f>
        <v>0.08565750702391557</v>
      </c>
      <c r="L15" s="239">
        <f>1/11.3692</f>
        <v>0.08795693628399535</v>
      </c>
      <c r="M15" s="239">
        <f>1/11.3073</f>
        <v>0.08843844242215207</v>
      </c>
      <c r="N15" s="239">
        <f>1/12.5935</f>
        <v>0.07940604279985707</v>
      </c>
      <c r="O15" s="240">
        <f>1/12.6411</f>
        <v>0.07910703973546607</v>
      </c>
      <c r="P15" s="239">
        <f>1/12.1204</f>
        <v>0.08250552787036732</v>
      </c>
      <c r="Q15" s="239">
        <f>1/11.8224</f>
        <v>0.08458519420760591</v>
      </c>
      <c r="R15" s="239">
        <f>1/12.1262</f>
        <v>0.08246606521416437</v>
      </c>
      <c r="S15" s="239">
        <f>1/11.7619</f>
        <v>0.08502027733614466</v>
      </c>
      <c r="T15" s="239">
        <f>1/11.2923</f>
        <v>0.08855591863482197</v>
      </c>
      <c r="U15" s="239">
        <f>1/11.7446</f>
        <v>0.08514551368288405</v>
      </c>
      <c r="V15" s="239">
        <f>1/11.736</f>
        <v>0.08520790729379686</v>
      </c>
      <c r="W15" s="239">
        <f>1/11.5461</f>
        <v>0.08660933128935312</v>
      </c>
      <c r="X15" s="239">
        <f>1/11.2483</f>
        <v>0.08890232301770044</v>
      </c>
      <c r="Y15" s="239">
        <f>1/11.601</f>
        <v>0.0861994655633135</v>
      </c>
      <c r="Z15" s="239">
        <f>1/11.2168</f>
        <v>0.08915198630625491</v>
      </c>
      <c r="AA15" s="239">
        <f>1/11.3535</f>
        <v>0.08807856608094419</v>
      </c>
      <c r="AB15" s="239">
        <f>1/11.8847</f>
        <v>0.08414179575420498</v>
      </c>
      <c r="AC15" s="239">
        <f>1/11.6567</f>
        <v>0.08578757281220242</v>
      </c>
      <c r="AD15" s="239">
        <f>1/11.7446</f>
        <v>0.08514551368288405</v>
      </c>
      <c r="AE15" s="239">
        <f>1/12.282</f>
        <v>0.08141996417521576</v>
      </c>
      <c r="AF15" s="239">
        <f>1/11.7407</f>
        <v>0.08517379713304998</v>
      </c>
      <c r="AG15" s="239">
        <f>1/11.5992</f>
        <v>0.0862128422649838</v>
      </c>
      <c r="AH15" s="239">
        <f>1/11.4978</f>
        <v>0.08697316008279846</v>
      </c>
      <c r="AI15" s="239">
        <f>1/11.5989</f>
        <v>0.08621507211890782</v>
      </c>
      <c r="AJ15" s="239">
        <f>1/11.2213</f>
        <v>0.08911623430440324</v>
      </c>
      <c r="AK15" s="239">
        <f>1/11.1059</f>
        <v>0.0900422298057789</v>
      </c>
      <c r="AL15" s="239">
        <f>1/10.7529</f>
        <v>0.09299816793609166</v>
      </c>
      <c r="AM15" s="239">
        <f>1/10.6948</f>
        <v>0.09350338482253057</v>
      </c>
      <c r="AN15" s="239">
        <f>1/10.907</f>
        <v>0.09168423947923351</v>
      </c>
      <c r="AO15" s="239">
        <f>1/10.7206</f>
        <v>0.09327836128574894</v>
      </c>
      <c r="AP15" s="239">
        <f>1/11.806</f>
        <v>0.08470269354565475</v>
      </c>
      <c r="AQ15" s="239">
        <f>1/12.8291</f>
        <v>0.07794779056987629</v>
      </c>
      <c r="AR15" s="239">
        <f>1/13.0643</f>
        <v>0.07654447616787735</v>
      </c>
      <c r="AS15" s="239">
        <f>1/13.1608</f>
        <v>0.07598322290438271</v>
      </c>
      <c r="AT15" s="239">
        <f>1/13.9706</f>
        <v>0.07157888709146351</v>
      </c>
      <c r="AU15" s="239">
        <f>1/14.3415</f>
        <v>0.069727713279643</v>
      </c>
      <c r="AV15" s="239">
        <f>1/13.8728</f>
        <v>0.07208350152817024</v>
      </c>
      <c r="AW15" s="239">
        <f>1/13.8362</f>
        <v>0.07227417932669375</v>
      </c>
      <c r="AX15" s="239">
        <f>1/14.0828</f>
        <v>0.07100860624307666</v>
      </c>
      <c r="AY15" s="239">
        <f>1/14.0398</f>
        <v>0.07122608584167865</v>
      </c>
      <c r="AZ15" s="239">
        <f>1/14.3044</f>
        <v>0.06990855960403793</v>
      </c>
      <c r="BA15" s="239">
        <f>1/14.1669</f>
        <v>0.07058707268350874</v>
      </c>
      <c r="BB15" s="241">
        <f>1/13.9229</f>
        <v>0.07182411710204052</v>
      </c>
      <c r="BC15" s="241">
        <f>1/14.2416</f>
        <v>0.07021682956971127</v>
      </c>
      <c r="BD15" s="241">
        <f>1/14.1833</f>
        <v>0.07050545359683572</v>
      </c>
      <c r="BE15" s="241">
        <f>1/14.525</f>
        <v>0.06884681583476764</v>
      </c>
      <c r="BF15" s="241">
        <f>1/14.3767</f>
        <v>0.06955699152100274</v>
      </c>
      <c r="BG15" s="241">
        <f>1/13.8408</f>
        <v>0.0722501589503497</v>
      </c>
      <c r="BH15" s="241">
        <f>1/13.8896</f>
        <v>0.07199631378873401</v>
      </c>
      <c r="BI15" s="241">
        <f>1/13.8016</f>
        <v>0.07245536749362393</v>
      </c>
      <c r="BJ15" s="241">
        <f>1/13.7527</f>
        <v>0.0727129945392541</v>
      </c>
      <c r="BK15" s="241">
        <f>1/15.0048</f>
        <v>0.06664534015781617</v>
      </c>
      <c r="BL15" s="241">
        <f>1/15.9805</f>
        <v>0.06257626482275273</v>
      </c>
      <c r="BM15" s="241">
        <f>1/15.4224</f>
        <v>0.06484075111526091</v>
      </c>
      <c r="BN15" s="241">
        <f>1/14.97</f>
        <v>0.0668002672010688</v>
      </c>
      <c r="BO15" s="241">
        <f>1/15.5595</f>
        <v>0.06426941739773129</v>
      </c>
      <c r="BP15" s="241">
        <f>1/15.1886</f>
        <v>0.0658388528238284</v>
      </c>
      <c r="BQ15" s="241">
        <f>1/14.4731</f>
        <v>0.06909369796380872</v>
      </c>
      <c r="BR15" s="241">
        <f>1/14.4452</f>
        <v>0.06922714811840612</v>
      </c>
      <c r="BS15" s="241">
        <f>1/16.3843</f>
        <v>0.06103403868337372</v>
      </c>
      <c r="BT15" s="241">
        <f>1/15.5129</f>
        <v>0.06446247961374083</v>
      </c>
      <c r="BU15" s="236">
        <f>1/14.8107</f>
        <v>0.06751875333373844</v>
      </c>
      <c r="BV15" s="236">
        <f>1/14.2861</f>
        <v>0.06999811005102863</v>
      </c>
      <c r="BW15" s="237">
        <f>1/14.4064</f>
        <v>0.06941359395824079</v>
      </c>
      <c r="BX15" s="237">
        <f>1/14.2015</f>
        <v>0.07041509699679611</v>
      </c>
      <c r="BY15" s="237">
        <f>1/13.2668</f>
        <v>0.07537612687309675</v>
      </c>
      <c r="BZ15" s="237">
        <f>1/12.91</f>
        <v>0.07745933384972889</v>
      </c>
      <c r="CA15" s="237">
        <v>0.07586274911430241</v>
      </c>
      <c r="CB15" s="237">
        <f>1/13.0024</f>
        <v>0.07690887836091799</v>
      </c>
      <c r="CC15" s="237">
        <f>1/13.1249</f>
        <v>0.07619105669376529</v>
      </c>
      <c r="CD15" s="237">
        <f>1/12.2854</f>
        <v>0.08139743109707458</v>
      </c>
      <c r="CE15" s="237">
        <f>1/12.2854</f>
        <v>0.08139743109707458</v>
      </c>
      <c r="CF15" s="237">
        <f>1/12.45388</f>
        <v>0.08029626108489885</v>
      </c>
      <c r="CG15" s="237">
        <f>1/12.1653</f>
        <v>0.0822010143605172</v>
      </c>
      <c r="CH15" s="237">
        <f>1/12.0599</f>
        <v>0.08291942719259694</v>
      </c>
      <c r="CI15" s="237">
        <v>0.0834</v>
      </c>
      <c r="CJ15" s="237">
        <v>0.0895</v>
      </c>
      <c r="CK15" s="237">
        <v>0.0888</v>
      </c>
      <c r="CL15" s="237">
        <v>0.0892968763952637</v>
      </c>
    </row>
    <row r="16" spans="2:90" ht="19.5" customHeight="1">
      <c r="B16" s="207" t="s">
        <v>33</v>
      </c>
      <c r="C16" s="238"/>
      <c r="D16" s="238">
        <f>1/0.0679</f>
        <v>14.727540500736376</v>
      </c>
      <c r="E16" s="238">
        <f>1/0.0642</f>
        <v>15.576323987538942</v>
      </c>
      <c r="F16" s="239">
        <f>1/0.0654</f>
        <v>15.290519877675841</v>
      </c>
      <c r="G16" s="239">
        <f>1/0.0668</f>
        <v>14.970059880239521</v>
      </c>
      <c r="H16" s="239">
        <f>1/0.0636</f>
        <v>15.723270440251572</v>
      </c>
      <c r="I16" s="239">
        <f>1/0.0622</f>
        <v>16.077170418006432</v>
      </c>
      <c r="J16" s="239">
        <f>1/0.0636</f>
        <v>15.723270440251572</v>
      </c>
      <c r="K16" s="239">
        <f>1/0.0636</f>
        <v>15.723270440251572</v>
      </c>
      <c r="L16" s="239">
        <f>1/0.0616</f>
        <v>16.233766233766232</v>
      </c>
      <c r="M16" s="239">
        <f>1/0.0604</f>
        <v>16.556291390728475</v>
      </c>
      <c r="N16" s="239">
        <f>1/0.065</f>
        <v>15.384615384615383</v>
      </c>
      <c r="O16" s="240">
        <f>1/0.0695</f>
        <v>14.388489208633093</v>
      </c>
      <c r="P16" s="239">
        <f>1/0.0611</f>
        <v>16.366612111292962</v>
      </c>
      <c r="Q16" s="239">
        <f>1/0.061</f>
        <v>16.39344262295082</v>
      </c>
      <c r="R16" s="239">
        <f>1/0.0606</f>
        <v>16.5016501650165</v>
      </c>
      <c r="S16" s="239">
        <f>1/0.0588</f>
        <v>17.006802721088437</v>
      </c>
      <c r="T16" s="239">
        <f>1/0.0561</f>
        <v>17.825311942959004</v>
      </c>
      <c r="U16" s="239">
        <f>1/0.0505</f>
        <v>19.801980198019802</v>
      </c>
      <c r="V16" s="239">
        <f>1/0.0595</f>
        <v>16.80672268907563</v>
      </c>
      <c r="W16" s="239">
        <f>1/0.0587</f>
        <v>17.035775127768314</v>
      </c>
      <c r="X16" s="239">
        <f>1/0.0578</f>
        <v>17.301038062283737</v>
      </c>
      <c r="Y16" s="239">
        <f>1/0.052</f>
        <v>19.23076923076923</v>
      </c>
      <c r="Z16" s="239">
        <f>1/0.0578</f>
        <v>17.301038062283737</v>
      </c>
      <c r="AA16" s="239">
        <f>1/0.0574</f>
        <v>17.421602787456447</v>
      </c>
      <c r="AB16" s="239">
        <f>1/0.0572</f>
        <v>17.482517482517483</v>
      </c>
      <c r="AC16" s="239">
        <f>1/0.0572</f>
        <v>17.482517482517483</v>
      </c>
      <c r="AD16" s="239">
        <f>1/0.0594</f>
        <v>16.835016835016834</v>
      </c>
      <c r="AE16" s="239">
        <f>1/0.0621</f>
        <v>16.10305958132045</v>
      </c>
      <c r="AF16" s="239">
        <f>1/0.0599</f>
        <v>16.69449081803005</v>
      </c>
      <c r="AG16" s="239">
        <f>1/0.0585</f>
        <v>17.094017094017094</v>
      </c>
      <c r="AH16" s="239">
        <f>1/0.0573</f>
        <v>17.452006980802793</v>
      </c>
      <c r="AI16" s="239">
        <f>1/0.0573</f>
        <v>17.452006980802793</v>
      </c>
      <c r="AJ16" s="239">
        <f>1/0.0545</f>
        <v>18.34862385321101</v>
      </c>
      <c r="AK16" s="239">
        <f>1/0.0536</f>
        <v>18.65671641791045</v>
      </c>
      <c r="AL16" s="239">
        <f>1/0.0528</f>
        <v>18.93939393939394</v>
      </c>
      <c r="AM16" s="239">
        <f>1/0.0519</f>
        <v>19.267822736030826</v>
      </c>
      <c r="AN16" s="239">
        <f>1/0.0533</f>
        <v>18.76172607879925</v>
      </c>
      <c r="AO16" s="239">
        <f>1/0.0518</f>
        <v>19.305019305019304</v>
      </c>
      <c r="AP16" s="239">
        <f>1/0.0566</f>
        <v>17.6678445229682</v>
      </c>
      <c r="AQ16" s="239">
        <f>1/0.0607</f>
        <v>16.474464579901156</v>
      </c>
      <c r="AR16" s="239">
        <f>1/0.0613</f>
        <v>16.31321370309951</v>
      </c>
      <c r="AS16" s="239">
        <f>1/0.06</f>
        <v>16.666666666666668</v>
      </c>
      <c r="AT16" s="239">
        <f>1/0.0633</f>
        <v>15.797788309636653</v>
      </c>
      <c r="AU16" s="239">
        <f>1/0.0645</f>
        <v>15.503875968992247</v>
      </c>
      <c r="AV16" s="239">
        <f>1/0.0619</f>
        <v>16.155088852988694</v>
      </c>
      <c r="AW16" s="239">
        <f>1/0.0601</f>
        <v>16.638935108153078</v>
      </c>
      <c r="AX16" s="239">
        <f>1/0.0597</f>
        <v>16.75041876046901</v>
      </c>
      <c r="AY16" s="239">
        <f>1/0.0595</f>
        <v>16.80672268907563</v>
      </c>
      <c r="AZ16" s="239">
        <f>1/0.0627</f>
        <v>15.948963317384369</v>
      </c>
      <c r="BA16" s="239">
        <f>1/0.06</f>
        <v>16.666666666666668</v>
      </c>
      <c r="BB16" s="241">
        <f>1/0.0581</f>
        <v>17.21170395869191</v>
      </c>
      <c r="BC16" s="241">
        <f>1/0.0585</f>
        <v>17.094017094017094</v>
      </c>
      <c r="BD16" s="241">
        <f>1/0.0574</f>
        <v>17.421602787456447</v>
      </c>
      <c r="BE16" s="241">
        <f>1/0.062</f>
        <v>16.129032258064516</v>
      </c>
      <c r="BF16" s="241">
        <f>1/0.062</f>
        <v>16.129032258064516</v>
      </c>
      <c r="BG16" s="241">
        <f>1/0.0585</f>
        <v>17.094017094017094</v>
      </c>
      <c r="BH16" s="241">
        <f>1/0.0603</f>
        <v>16.58374792703151</v>
      </c>
      <c r="BI16" s="241">
        <f>1/0.0609</f>
        <v>16.420361247947454</v>
      </c>
      <c r="BJ16" s="241">
        <f>1/0.0647</f>
        <v>15.45595054095827</v>
      </c>
      <c r="BK16" s="241">
        <f>1/0.0713</f>
        <v>14.025245441795231</v>
      </c>
      <c r="BL16" s="241">
        <f>1/0.0791</f>
        <v>12.642225031605562</v>
      </c>
      <c r="BM16" s="241">
        <f>1/0.0761</f>
        <v>13.140604467805518</v>
      </c>
      <c r="BN16" s="241">
        <f>1/0.0732</f>
        <v>13.66120218579235</v>
      </c>
      <c r="BO16" s="241">
        <f>1/0.0742</f>
        <v>13.477088948787062</v>
      </c>
      <c r="BP16" s="241">
        <f>1/0.0716</f>
        <v>13.966480446927374</v>
      </c>
      <c r="BQ16" s="241">
        <f>1/0.0701</f>
        <v>14.265335235378032</v>
      </c>
      <c r="BR16" s="241">
        <f>1/0.0754</f>
        <v>13.262599469496022</v>
      </c>
      <c r="BS16" s="241">
        <f>1/0.0964</f>
        <v>10.37344398340249</v>
      </c>
      <c r="BT16" s="241">
        <f>1/0.1044</f>
        <v>9.578544061302681</v>
      </c>
      <c r="BU16" s="236">
        <f>1/0.1091</f>
        <v>9.165902841429881</v>
      </c>
      <c r="BV16" s="236">
        <f>1/0.1095</f>
        <v>9.132420091324201</v>
      </c>
      <c r="BW16" s="237">
        <f>1/0.1083</f>
        <v>9.233610341643583</v>
      </c>
      <c r="BX16" s="237">
        <f>1/0.1023</f>
        <v>9.775171065493646</v>
      </c>
      <c r="BY16" s="237">
        <f>1/0.0913</f>
        <v>10.952902519167578</v>
      </c>
      <c r="BZ16" s="237">
        <f>1/0.0866</f>
        <v>11.547344110854503</v>
      </c>
      <c r="CA16" s="237">
        <v>11.990407673860911</v>
      </c>
      <c r="CB16" s="237">
        <f>1/0.0841</f>
        <v>11.890606420927469</v>
      </c>
      <c r="CC16" s="237">
        <f>1/0.0838</f>
        <v>11.933174224343675</v>
      </c>
      <c r="CD16" s="237">
        <f>1/0.0823</f>
        <v>12.150668286755772</v>
      </c>
      <c r="CE16" s="237">
        <f>1/0.0823</f>
        <v>12.150668286755772</v>
      </c>
      <c r="CF16" s="237">
        <v>11.8811</v>
      </c>
      <c r="CG16" s="237">
        <v>11.976</v>
      </c>
      <c r="CH16" s="237">
        <v>12.2549</v>
      </c>
      <c r="CI16" s="237">
        <v>11.7786</v>
      </c>
      <c r="CJ16" s="237">
        <v>12.1951</v>
      </c>
      <c r="CK16" s="237">
        <v>12.7065</v>
      </c>
      <c r="CL16" s="237">
        <v>12.077294685990339</v>
      </c>
    </row>
    <row r="17" spans="2:90" ht="19.5" customHeight="1" hidden="1">
      <c r="B17" s="207" t="s">
        <v>33</v>
      </c>
      <c r="C17" s="242"/>
      <c r="D17" s="242"/>
      <c r="E17" s="242"/>
      <c r="F17" s="210"/>
      <c r="G17" s="210"/>
      <c r="H17" s="210"/>
      <c r="I17" s="210"/>
      <c r="J17" s="210"/>
      <c r="K17" s="210"/>
      <c r="L17" s="210"/>
      <c r="M17" s="210"/>
      <c r="N17" s="210"/>
      <c r="O17" s="212"/>
      <c r="P17" s="213"/>
      <c r="Q17" s="210"/>
      <c r="R17" s="213"/>
      <c r="S17" s="213"/>
      <c r="T17" s="213"/>
      <c r="U17" s="213"/>
      <c r="V17" s="213"/>
      <c r="W17" s="213"/>
      <c r="X17" s="213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41">
        <f>1/0.0742</f>
        <v>13.477088948787062</v>
      </c>
      <c r="BP17" s="241">
        <f>1/0.0716</f>
        <v>13.966480446927374</v>
      </c>
      <c r="BQ17" s="241">
        <f>1/0.0701</f>
        <v>14.265335235378032</v>
      </c>
      <c r="BR17" s="241">
        <f>1/0.0754</f>
        <v>13.262599469496022</v>
      </c>
      <c r="BS17" s="241">
        <f>1/0.0964</f>
        <v>10.37344398340249</v>
      </c>
      <c r="BT17" s="241">
        <f>1/0.1044</f>
        <v>9.578544061302681</v>
      </c>
      <c r="BU17" s="236">
        <f>1/0.1091</f>
        <v>9.165902841429881</v>
      </c>
      <c r="BV17" s="236">
        <f>1/0.1095</f>
        <v>9.132420091324201</v>
      </c>
      <c r="BW17" s="237">
        <f>1/0.1083</f>
        <v>9.233610341643583</v>
      </c>
      <c r="BX17" s="237">
        <f>1/0.1023</f>
        <v>9.775171065493646</v>
      </c>
      <c r="BY17" s="237">
        <f>1/0.0913</f>
        <v>10.952902519167578</v>
      </c>
      <c r="BZ17" s="237">
        <f>1/0.0866</f>
        <v>11.547344110854503</v>
      </c>
      <c r="CA17" s="237">
        <v>12.9904076738609</v>
      </c>
      <c r="CB17" s="237">
        <f>1/0.0841</f>
        <v>11.890606420927469</v>
      </c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</row>
    <row r="18" spans="2:90" ht="19.5" customHeight="1">
      <c r="B18" s="243" t="s">
        <v>154</v>
      </c>
      <c r="C18" s="244"/>
      <c r="D18" s="244"/>
      <c r="E18" s="245"/>
      <c r="F18" s="246"/>
      <c r="G18" s="246"/>
      <c r="H18" s="246"/>
      <c r="I18" s="247"/>
      <c r="J18" s="247"/>
      <c r="K18" s="246"/>
      <c r="L18" s="246"/>
      <c r="M18" s="248"/>
      <c r="N18" s="247"/>
      <c r="O18" s="248"/>
      <c r="P18" s="249"/>
      <c r="Q18" s="246"/>
      <c r="R18" s="249"/>
      <c r="S18" s="249"/>
      <c r="T18" s="250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90"/>
      <c r="BK18" s="290"/>
      <c r="BL18" s="290"/>
      <c r="BM18" s="290"/>
      <c r="BN18" s="290"/>
      <c r="BO18" s="241"/>
      <c r="BP18" s="241">
        <f>1/12.0494</f>
        <v>0.08299168423323983</v>
      </c>
      <c r="BQ18" s="241">
        <f>1/11.4757</f>
        <v>0.08714065372918428</v>
      </c>
      <c r="BR18" s="241">
        <f>1/11.5514</f>
        <v>0.0865695932960507</v>
      </c>
      <c r="BS18" s="241">
        <f>1/12.9051</f>
        <v>0.07748874475982365</v>
      </c>
      <c r="BT18" s="241">
        <f>1/12.881</f>
        <v>0.07763372408974459</v>
      </c>
      <c r="BU18" s="236">
        <f>1/13.3723</f>
        <v>0.07478145120884216</v>
      </c>
      <c r="BV18" s="236">
        <f>1/13.13</f>
        <v>0.07616146230007616</v>
      </c>
      <c r="BW18" s="237">
        <f>1/12.8058</f>
        <v>0.07808961564291181</v>
      </c>
      <c r="BX18" s="237">
        <f>1/13.0511</f>
        <v>0.07662189393997441</v>
      </c>
      <c r="BY18" s="237">
        <f>1/11.9135</f>
        <v>0.08393838922231082</v>
      </c>
      <c r="BZ18" s="237">
        <f>1/11.4253</f>
        <v>0.08752505404672087</v>
      </c>
      <c r="CA18" s="237">
        <f>1/11.2957</f>
        <v>0.08852926334799968</v>
      </c>
      <c r="CB18" s="237">
        <f>1/11.1974</f>
        <v>0.08930644613928233</v>
      </c>
      <c r="CC18" s="237">
        <f>1/11.3256</f>
        <v>0.08829554284099739</v>
      </c>
      <c r="CD18" s="237">
        <f>1/10.9465</f>
        <v>0.09135340063033846</v>
      </c>
      <c r="CE18" s="237">
        <f>1/10.9465</f>
        <v>0.09135340063033846</v>
      </c>
      <c r="CF18" s="237">
        <f>1/11.19337</f>
        <v>0.08933859954598124</v>
      </c>
      <c r="CG18" s="237">
        <v>0.0914</v>
      </c>
      <c r="CH18" s="237">
        <v>0.0939</v>
      </c>
      <c r="CI18" s="237">
        <v>0.0953</v>
      </c>
      <c r="CJ18" s="237">
        <v>0.0992</v>
      </c>
      <c r="CK18" s="237">
        <v>0.1015</v>
      </c>
      <c r="CL18" s="237">
        <v>0.10414280060819396</v>
      </c>
    </row>
    <row r="19" spans="2:90" ht="19.5" customHeight="1">
      <c r="B19" s="251" t="s">
        <v>35</v>
      </c>
      <c r="C19" s="244"/>
      <c r="D19" s="244"/>
      <c r="E19" s="252"/>
      <c r="F19" s="246"/>
      <c r="G19" s="246"/>
      <c r="H19" s="246"/>
      <c r="I19" s="249"/>
      <c r="J19" s="249"/>
      <c r="K19" s="246"/>
      <c r="L19" s="246"/>
      <c r="M19" s="253"/>
      <c r="N19" s="249"/>
      <c r="O19" s="248"/>
      <c r="P19" s="249"/>
      <c r="Q19" s="246"/>
      <c r="R19" s="249"/>
      <c r="S19" s="249"/>
      <c r="T19" s="250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</row>
    <row r="20" spans="2:90" ht="19.5" customHeight="1" thickBot="1">
      <c r="B20" s="255" t="s">
        <v>34</v>
      </c>
      <c r="C20" s="256"/>
      <c r="D20" s="256"/>
      <c r="E20" s="257"/>
      <c r="F20" s="258"/>
      <c r="G20" s="258"/>
      <c r="H20" s="258"/>
      <c r="I20" s="259"/>
      <c r="J20" s="259"/>
      <c r="K20" s="258"/>
      <c r="L20" s="258"/>
      <c r="M20" s="260"/>
      <c r="N20" s="259"/>
      <c r="O20" s="261"/>
      <c r="P20" s="259"/>
      <c r="Q20" s="258"/>
      <c r="R20" s="259"/>
      <c r="S20" s="259"/>
      <c r="T20" s="262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</row>
    <row r="21" ht="19.5" customHeight="1">
      <c r="B21" s="187" t="s">
        <v>101</v>
      </c>
    </row>
    <row r="22" spans="75:79" ht="19.5" customHeight="1">
      <c r="BW22" s="192"/>
      <c r="BX22" s="192"/>
      <c r="BY22" s="192"/>
      <c r="BZ22" s="192"/>
      <c r="CA22" s="192"/>
    </row>
  </sheetData>
  <sheetProtection/>
  <mergeCells count="3">
    <mergeCell ref="BJ3:BU3"/>
    <mergeCell ref="BV3:CG3"/>
    <mergeCell ref="CH3:CL3"/>
  </mergeCells>
  <printOptions horizontalCentered="1"/>
  <pageMargins left="0.95" right="0.49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9" zoomScaleNormal="99" zoomScaleSheetLayoutView="50" workbookViewId="0" topLeftCell="A22">
      <selection activeCell="N23" sqref="N23"/>
    </sheetView>
  </sheetViews>
  <sheetFormatPr defaultColWidth="9.140625" defaultRowHeight="12"/>
  <cols>
    <col min="11" max="11" width="8.7109375" style="0" customWidth="1"/>
  </cols>
  <sheetData>
    <row r="2" spans="1:15" ht="12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9" t="s">
        <v>166</v>
      </c>
      <c r="B4" s="309"/>
      <c r="C4" s="309"/>
      <c r="D4" s="309"/>
      <c r="E4" s="309"/>
      <c r="F4" s="309"/>
      <c r="G4" s="309"/>
      <c r="H4" s="309"/>
      <c r="I4" s="309"/>
      <c r="J4" s="309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>
      <c r="A28" s="15"/>
      <c r="B28" s="309" t="s">
        <v>167</v>
      </c>
      <c r="C28" s="309" t="s">
        <v>162</v>
      </c>
      <c r="D28" s="309"/>
      <c r="E28" s="309"/>
      <c r="F28" s="309"/>
      <c r="G28" s="309"/>
      <c r="H28" s="309"/>
      <c r="I28" s="309"/>
      <c r="J28" s="309"/>
      <c r="K28" s="309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1:15" ht="12.75"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3"/>
      <c r="H52" s="15"/>
      <c r="I52" s="15"/>
      <c r="J52" s="15"/>
      <c r="K52" s="15"/>
      <c r="L52" s="15"/>
      <c r="M52" s="15"/>
      <c r="N52" s="15"/>
      <c r="O52" s="15"/>
      <c r="U52" t="s">
        <v>118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63"/>
      <c r="L57" s="15"/>
      <c r="M57" s="15"/>
      <c r="N57" s="15"/>
      <c r="O57" s="15"/>
    </row>
    <row r="58" spans="1:15" ht="20.25">
      <c r="A58" s="15"/>
      <c r="B58" s="15"/>
      <c r="C58" s="15"/>
      <c r="D58" s="163"/>
      <c r="E58" s="163"/>
      <c r="F58" s="163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B28:K2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74">
      <selection activeCell="M91" sqref="M9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118</v>
      </c>
    </row>
    <row r="2" spans="1:11" ht="11.25">
      <c r="A2" s="103"/>
      <c r="B2" s="324" t="s">
        <v>74</v>
      </c>
      <c r="C2" s="325"/>
      <c r="D2" s="325"/>
      <c r="E2" s="325"/>
      <c r="F2" s="325"/>
      <c r="G2" s="325"/>
      <c r="H2" s="325"/>
      <c r="I2" s="325"/>
      <c r="J2" s="325"/>
      <c r="K2" s="326"/>
    </row>
    <row r="3" spans="1:11" ht="11.25">
      <c r="A3" s="103"/>
      <c r="B3" s="327" t="s">
        <v>111</v>
      </c>
      <c r="C3" s="298"/>
      <c r="D3" s="298"/>
      <c r="E3" s="298"/>
      <c r="F3" s="298"/>
      <c r="G3" s="298"/>
      <c r="H3" s="298"/>
      <c r="I3" s="298"/>
      <c r="J3" s="298"/>
      <c r="K3" s="328"/>
    </row>
    <row r="4" spans="1:11" ht="11.25">
      <c r="A4" s="103"/>
      <c r="B4" s="105"/>
      <c r="C4" s="68"/>
      <c r="D4" s="43"/>
      <c r="E4" s="68"/>
      <c r="F4" s="301" t="s">
        <v>106</v>
      </c>
      <c r="G4" s="303"/>
      <c r="H4" s="125" t="s">
        <v>125</v>
      </c>
      <c r="I4" s="301" t="s">
        <v>126</v>
      </c>
      <c r="J4" s="322"/>
      <c r="K4" s="323"/>
    </row>
    <row r="5" spans="1:11" ht="11.25">
      <c r="A5" s="103"/>
      <c r="B5" s="106"/>
      <c r="C5" s="12">
        <v>39934</v>
      </c>
      <c r="D5" s="12">
        <v>40269</v>
      </c>
      <c r="E5" s="12">
        <v>40299</v>
      </c>
      <c r="F5" s="12" t="s">
        <v>155</v>
      </c>
      <c r="G5" s="58" t="s">
        <v>156</v>
      </c>
      <c r="H5" s="58" t="s">
        <v>169</v>
      </c>
      <c r="I5" s="12">
        <v>40238</v>
      </c>
      <c r="J5" s="12">
        <v>40269</v>
      </c>
      <c r="K5" s="12">
        <v>40299</v>
      </c>
    </row>
    <row r="6" spans="1:12" ht="11.25">
      <c r="A6" s="103"/>
      <c r="B6" s="107" t="s">
        <v>52</v>
      </c>
      <c r="C6" s="141">
        <v>14313.743038749997</v>
      </c>
      <c r="D6" s="141">
        <v>13633.381454070002</v>
      </c>
      <c r="E6" s="141">
        <v>13389.662201950003</v>
      </c>
      <c r="F6" s="141">
        <v>-243.7192521199995</v>
      </c>
      <c r="G6" s="141">
        <v>-924.0808367999944</v>
      </c>
      <c r="H6" s="142">
        <v>-1.7876654661286653</v>
      </c>
      <c r="I6" s="142">
        <v>-9.080545486535009</v>
      </c>
      <c r="J6" s="142">
        <v>-6.963284200543274</v>
      </c>
      <c r="K6" s="171">
        <v>-6.455899301100587</v>
      </c>
      <c r="L6" s="53"/>
    </row>
    <row r="7" spans="1:12" ht="11.25">
      <c r="A7" s="103"/>
      <c r="B7" s="107" t="s">
        <v>139</v>
      </c>
      <c r="C7" s="141">
        <v>14134.722502349998</v>
      </c>
      <c r="D7" s="141">
        <v>13475.298175760003</v>
      </c>
      <c r="E7" s="141">
        <v>13034.768230740003</v>
      </c>
      <c r="F7" s="141">
        <v>-440.52994502</v>
      </c>
      <c r="G7" s="141">
        <v>-1099.954271609995</v>
      </c>
      <c r="H7" s="142">
        <v>-3.2691665837305623</v>
      </c>
      <c r="I7" s="142">
        <v>-6.814140160360626</v>
      </c>
      <c r="J7" s="142">
        <v>-7.428307410513801</v>
      </c>
      <c r="K7" s="171">
        <v>-7.781930430025219</v>
      </c>
      <c r="L7" s="53"/>
    </row>
    <row r="8" spans="1:12" ht="11.25">
      <c r="A8" s="103"/>
      <c r="B8" s="108" t="s">
        <v>53</v>
      </c>
      <c r="C8" s="143">
        <v>13851.635917089998</v>
      </c>
      <c r="D8" s="143">
        <v>11843.758978220001</v>
      </c>
      <c r="E8" s="143">
        <v>11333.987102270003</v>
      </c>
      <c r="F8" s="143">
        <v>-509.7718759499985</v>
      </c>
      <c r="G8" s="143">
        <v>-2517.648814819995</v>
      </c>
      <c r="H8" s="144">
        <v>-4.304139225455702</v>
      </c>
      <c r="I8" s="144">
        <v>45.81743513256633</v>
      </c>
      <c r="J8" s="144">
        <v>-17.81335344143272</v>
      </c>
      <c r="K8" s="172">
        <v>-18.175822912828277</v>
      </c>
      <c r="L8" s="53"/>
    </row>
    <row r="9" spans="1:12" ht="11.25">
      <c r="A9" s="103"/>
      <c r="B9" s="108" t="s">
        <v>54</v>
      </c>
      <c r="C9" s="143">
        <v>-8E-08</v>
      </c>
      <c r="D9" s="143">
        <v>-8E-08</v>
      </c>
      <c r="E9" s="143">
        <v>-9E-08</v>
      </c>
      <c r="F9" s="143">
        <v>-9.999999999999997E-09</v>
      </c>
      <c r="G9" s="143">
        <v>-9.999999999999997E-09</v>
      </c>
      <c r="H9" s="144">
        <v>12.499999999999996</v>
      </c>
      <c r="I9" s="144">
        <v>-100.000000000166</v>
      </c>
      <c r="J9" s="144">
        <v>0</v>
      </c>
      <c r="K9" s="172">
        <v>12.5</v>
      </c>
      <c r="L9" s="53"/>
    </row>
    <row r="10" spans="1:12" ht="11.25">
      <c r="A10" s="103"/>
      <c r="B10" s="108" t="s">
        <v>55</v>
      </c>
      <c r="C10" s="143">
        <v>283.08658533999994</v>
      </c>
      <c r="D10" s="143">
        <v>1631.53919762</v>
      </c>
      <c r="E10" s="143">
        <v>1700.78112856</v>
      </c>
      <c r="F10" s="143">
        <v>69.24193093999997</v>
      </c>
      <c r="G10" s="143">
        <v>1417.69454322</v>
      </c>
      <c r="H10" s="144">
        <v>4.243963678041343</v>
      </c>
      <c r="I10" s="144">
        <v>1299.2549339730995</v>
      </c>
      <c r="J10" s="144">
        <v>1019.0194267788435</v>
      </c>
      <c r="K10" s="172">
        <v>500.79891334917346</v>
      </c>
      <c r="L10" s="53"/>
    </row>
    <row r="11" spans="1:12" ht="11.25">
      <c r="A11" s="103"/>
      <c r="B11" s="107" t="s">
        <v>56</v>
      </c>
      <c r="C11" s="141">
        <v>179.0205364</v>
      </c>
      <c r="D11" s="141">
        <v>158.08327831</v>
      </c>
      <c r="E11" s="141">
        <v>354.89397120999996</v>
      </c>
      <c r="F11" s="141">
        <v>196.81069289999996</v>
      </c>
      <c r="G11" s="141">
        <v>175.87343480999996</v>
      </c>
      <c r="H11" s="142">
        <v>124.49810948002724</v>
      </c>
      <c r="I11" s="142">
        <v>-85.54740723356593</v>
      </c>
      <c r="J11" s="142">
        <v>62.70911285325826</v>
      </c>
      <c r="K11" s="171">
        <v>98.24204437474803</v>
      </c>
      <c r="L11" s="53"/>
    </row>
    <row r="12" spans="1:12" ht="11.25">
      <c r="A12" s="103"/>
      <c r="B12" s="108" t="s">
        <v>96</v>
      </c>
      <c r="C12" s="143">
        <v>156.67131770999998</v>
      </c>
      <c r="D12" s="143">
        <v>136.32090227999998</v>
      </c>
      <c r="E12" s="143">
        <v>332.94968386</v>
      </c>
      <c r="F12" s="143">
        <v>196.62878158</v>
      </c>
      <c r="G12" s="143">
        <v>176.27836615</v>
      </c>
      <c r="H12" s="144">
        <v>144.23964211748617</v>
      </c>
      <c r="I12" s="144">
        <v>-90.36380612130309</v>
      </c>
      <c r="J12" s="144">
        <v>84.10346019604074</v>
      </c>
      <c r="K12" s="172">
        <v>112.51476576988577</v>
      </c>
      <c r="L12" s="53"/>
    </row>
    <row r="13" spans="1:12" ht="11.25">
      <c r="A13" s="103"/>
      <c r="B13" s="108" t="s">
        <v>75</v>
      </c>
      <c r="C13" s="143">
        <v>0.03722773</v>
      </c>
      <c r="D13" s="143">
        <v>0.03722773</v>
      </c>
      <c r="E13" s="143">
        <v>0.03722773</v>
      </c>
      <c r="F13" s="143">
        <v>0</v>
      </c>
      <c r="G13" s="143">
        <v>0</v>
      </c>
      <c r="H13" s="144">
        <v>0</v>
      </c>
      <c r="I13" s="144">
        <v>-29.00587856627753</v>
      </c>
      <c r="J13" s="144">
        <v>-34.45306680253199</v>
      </c>
      <c r="K13" s="172">
        <v>-42.17889628539962</v>
      </c>
      <c r="L13" s="53"/>
    </row>
    <row r="14" spans="1:12" ht="11.25">
      <c r="A14" s="103"/>
      <c r="B14" s="108" t="s">
        <v>57</v>
      </c>
      <c r="C14" s="143">
        <v>22.311990960000003</v>
      </c>
      <c r="D14" s="143">
        <v>21.7251483</v>
      </c>
      <c r="E14" s="143">
        <v>21.90705962</v>
      </c>
      <c r="F14" s="143">
        <v>0.18191131999999754</v>
      </c>
      <c r="G14" s="143">
        <v>-0.4049313400000045</v>
      </c>
      <c r="H14" s="144">
        <v>0.8373306248040551</v>
      </c>
      <c r="I14" s="144">
        <v>0</v>
      </c>
      <c r="J14" s="144">
        <v>0</v>
      </c>
      <c r="K14" s="172">
        <v>0</v>
      </c>
      <c r="L14" s="53"/>
    </row>
    <row r="15" spans="1:12" ht="11.25">
      <c r="A15" s="103"/>
      <c r="B15" s="109"/>
      <c r="C15" s="141"/>
      <c r="D15" s="141"/>
      <c r="E15" s="141"/>
      <c r="F15" s="141"/>
      <c r="G15" s="141"/>
      <c r="H15" s="142"/>
      <c r="I15" s="142"/>
      <c r="J15" s="142"/>
      <c r="K15" s="171"/>
      <c r="L15" s="53"/>
    </row>
    <row r="16" spans="1:12" ht="11.25">
      <c r="A16" s="103"/>
      <c r="B16" s="107" t="s">
        <v>58</v>
      </c>
      <c r="C16" s="141">
        <v>14313.797534609996</v>
      </c>
      <c r="D16" s="141">
        <v>13633.35535403</v>
      </c>
      <c r="E16" s="141">
        <v>13389.655091789993</v>
      </c>
      <c r="F16" s="141">
        <v>-243.70026224000685</v>
      </c>
      <c r="G16" s="141">
        <v>-924.1424428200025</v>
      </c>
      <c r="H16" s="142">
        <v>-1.7875295986322943</v>
      </c>
      <c r="I16" s="142">
        <v>-9.080837657023654</v>
      </c>
      <c r="J16" s="142">
        <v>-6.963611944053261</v>
      </c>
      <c r="K16" s="171">
        <v>-6.456305118089556</v>
      </c>
      <c r="L16" s="53"/>
    </row>
    <row r="17" spans="1:12" ht="11.25">
      <c r="A17" s="103"/>
      <c r="B17" s="107" t="s">
        <v>59</v>
      </c>
      <c r="C17" s="141">
        <v>3407.356510479998</v>
      </c>
      <c r="D17" s="141">
        <v>5002.810854430002</v>
      </c>
      <c r="E17" s="141">
        <v>5534.888167049992</v>
      </c>
      <c r="F17" s="141">
        <v>532.0773126199902</v>
      </c>
      <c r="G17" s="141">
        <v>2127.531656569994</v>
      </c>
      <c r="H17" s="142">
        <v>10.635567246137926</v>
      </c>
      <c r="I17" s="144">
        <v>37.650076893035546</v>
      </c>
      <c r="J17" s="144">
        <v>51.13431446730687</v>
      </c>
      <c r="K17" s="171">
        <v>62.4393617171068</v>
      </c>
      <c r="L17" s="53"/>
    </row>
    <row r="18" spans="1:12" ht="11.25">
      <c r="A18" s="103"/>
      <c r="B18" s="108" t="s">
        <v>60</v>
      </c>
      <c r="C18" s="143">
        <v>1538.8682839</v>
      </c>
      <c r="D18" s="143">
        <v>1595.2353507999999</v>
      </c>
      <c r="E18" s="143">
        <v>1649.7580171</v>
      </c>
      <c r="F18" s="143">
        <v>54.52266630000008</v>
      </c>
      <c r="G18" s="143">
        <v>110.88973319999991</v>
      </c>
      <c r="H18" s="144">
        <v>3.4178446630246335</v>
      </c>
      <c r="I18" s="144">
        <v>3.836526080469427</v>
      </c>
      <c r="J18" s="144">
        <v>2.0691362765378196</v>
      </c>
      <c r="K18" s="172">
        <v>7.205927522202793</v>
      </c>
      <c r="L18" s="53"/>
    </row>
    <row r="19" spans="1:12" ht="11.25">
      <c r="A19" s="103"/>
      <c r="B19" s="108" t="s">
        <v>61</v>
      </c>
      <c r="C19" s="143">
        <v>1868.4882265799984</v>
      </c>
      <c r="D19" s="143">
        <v>3407.5755036300025</v>
      </c>
      <c r="E19" s="143">
        <v>3885.1301499499923</v>
      </c>
      <c r="F19" s="143">
        <v>477.55464631998984</v>
      </c>
      <c r="G19" s="143">
        <v>2016.641923369994</v>
      </c>
      <c r="H19" s="144">
        <v>14.01449933570843</v>
      </c>
      <c r="I19" s="144">
        <v>62.06195563803778</v>
      </c>
      <c r="J19" s="144">
        <v>95.02188861228882</v>
      </c>
      <c r="K19" s="172">
        <v>107.92906771808619</v>
      </c>
      <c r="L19" s="53"/>
    </row>
    <row r="20" spans="1:12" ht="11.25">
      <c r="A20" s="103"/>
      <c r="B20" s="107" t="s">
        <v>97</v>
      </c>
      <c r="C20" s="141">
        <v>10934.507213079998</v>
      </c>
      <c r="D20" s="141">
        <v>8763.405725749999</v>
      </c>
      <c r="E20" s="141">
        <v>7996.187695490002</v>
      </c>
      <c r="F20" s="141">
        <v>-767.2180302599972</v>
      </c>
      <c r="G20" s="141">
        <v>-2938.3195175899964</v>
      </c>
      <c r="H20" s="142">
        <v>-8.754792991104338</v>
      </c>
      <c r="I20" s="142">
        <v>-24.19615647223362</v>
      </c>
      <c r="J20" s="142">
        <v>-22.904909787579818</v>
      </c>
      <c r="K20" s="171">
        <v>-26.871988470364172</v>
      </c>
      <c r="L20" s="53"/>
    </row>
    <row r="21" spans="1:12" ht="11.25">
      <c r="A21" s="103"/>
      <c r="B21" s="108" t="s">
        <v>140</v>
      </c>
      <c r="C21" s="143">
        <v>8903.418152279997</v>
      </c>
      <c r="D21" s="143">
        <v>5982.20945788</v>
      </c>
      <c r="E21" s="143">
        <v>5148.070346220002</v>
      </c>
      <c r="F21" s="143">
        <v>-834.139111659998</v>
      </c>
      <c r="G21" s="143">
        <v>-3755.3478060599955</v>
      </c>
      <c r="H21" s="144">
        <v>-13.943662747569585</v>
      </c>
      <c r="I21" s="144">
        <v>-29.005729285709357</v>
      </c>
      <c r="J21" s="144">
        <v>-34.452926267002425</v>
      </c>
      <c r="K21" s="172">
        <v>-42.178719923407414</v>
      </c>
      <c r="L21" s="53"/>
    </row>
    <row r="22" spans="1:12" ht="11.25">
      <c r="A22" s="103"/>
      <c r="B22" s="110" t="s">
        <v>62</v>
      </c>
      <c r="C22" s="143">
        <v>2031.0890608000002</v>
      </c>
      <c r="D22" s="143">
        <v>2781.1962678699997</v>
      </c>
      <c r="E22" s="143">
        <v>2848.11734927</v>
      </c>
      <c r="F22" s="143">
        <v>66.92108140000028</v>
      </c>
      <c r="G22" s="143">
        <v>817.0282884699998</v>
      </c>
      <c r="H22" s="144">
        <v>2.406197727686881</v>
      </c>
      <c r="I22" s="144">
        <v>-14.12256610593683</v>
      </c>
      <c r="J22" s="144">
        <v>24.137063685188576</v>
      </c>
      <c r="K22" s="172">
        <v>40.22611830463951</v>
      </c>
      <c r="L22" s="53"/>
    </row>
    <row r="23" spans="1:12" ht="11.25">
      <c r="A23" s="103"/>
      <c r="B23" s="111" t="s">
        <v>0</v>
      </c>
      <c r="C23" s="143">
        <v>7.272919799999952</v>
      </c>
      <c r="D23" s="143">
        <v>8.51655972</v>
      </c>
      <c r="E23" s="143">
        <v>6.266573619999999</v>
      </c>
      <c r="F23" s="143">
        <v>-2.249986100000001</v>
      </c>
      <c r="G23" s="143">
        <v>-1.0063461799999533</v>
      </c>
      <c r="H23" s="144">
        <v>-26.418955235131037</v>
      </c>
      <c r="I23" s="144">
        <v>-32.16595833973648</v>
      </c>
      <c r="J23" s="144">
        <v>-26.88583114021268</v>
      </c>
      <c r="K23" s="172">
        <v>-13.836893677831563</v>
      </c>
      <c r="L23" s="53"/>
    </row>
    <row r="24" spans="1:12" ht="11.25">
      <c r="A24" s="103"/>
      <c r="B24" s="111" t="s">
        <v>98</v>
      </c>
      <c r="C24" s="143">
        <v>111.41096310000002</v>
      </c>
      <c r="D24" s="143">
        <v>81.90111927999997</v>
      </c>
      <c r="E24" s="143">
        <v>84.48973920000002</v>
      </c>
      <c r="F24" s="143">
        <v>2.588619920000042</v>
      </c>
      <c r="G24" s="143">
        <v>-26.9212239</v>
      </c>
      <c r="H24" s="144">
        <v>3.1606648880465</v>
      </c>
      <c r="I24" s="144">
        <v>-32.033261396315126</v>
      </c>
      <c r="J24" s="144">
        <v>-27.528751231118974</v>
      </c>
      <c r="K24" s="172">
        <v>-24.163891192499708</v>
      </c>
      <c r="L24" s="53"/>
    </row>
    <row r="25" spans="1:12" ht="12" thickBot="1">
      <c r="A25" s="103"/>
      <c r="B25" s="112" t="s">
        <v>91</v>
      </c>
      <c r="C25" s="173">
        <v>-146.75007185000007</v>
      </c>
      <c r="D25" s="173">
        <v>-223.2789051499999</v>
      </c>
      <c r="E25" s="173">
        <v>-232.17708357000004</v>
      </c>
      <c r="F25" s="173">
        <v>-8.898178420000136</v>
      </c>
      <c r="G25" s="173">
        <v>-85.42701171999997</v>
      </c>
      <c r="H25" s="174">
        <v>3.985230227648373</v>
      </c>
      <c r="I25" s="174">
        <v>88.27295554210836</v>
      </c>
      <c r="J25" s="174">
        <v>50.80696851643833</v>
      </c>
      <c r="K25" s="175">
        <v>58.21258595860779</v>
      </c>
      <c r="L25" s="53"/>
    </row>
    <row r="26" spans="2:12" ht="12" customHeight="1" hidden="1">
      <c r="B26" s="57" t="s">
        <v>73</v>
      </c>
      <c r="C26" s="145">
        <v>-0.0544958599984966</v>
      </c>
      <c r="D26" s="145">
        <v>0.02610004000234767</v>
      </c>
      <c r="E26" s="145">
        <v>0.007110160009688116</v>
      </c>
      <c r="F26" s="145">
        <v>-0.018989879992659553</v>
      </c>
      <c r="G26" s="145">
        <v>0.061606020008184714</v>
      </c>
      <c r="H26" s="145">
        <v>-0.00013586749637095608</v>
      </c>
      <c r="I26" s="145">
        <v>0.0002921704886453824</v>
      </c>
      <c r="J26" s="145">
        <v>0.0003277435099864334</v>
      </c>
      <c r="K26" s="146">
        <v>0.0004058169889695762</v>
      </c>
      <c r="L26" s="53">
        <f>(E26-C26)/C26*100</f>
        <v>-113.04715626083204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3"/>
      <c r="B30" s="324" t="s">
        <v>74</v>
      </c>
      <c r="C30" s="325"/>
      <c r="D30" s="325"/>
      <c r="E30" s="325"/>
      <c r="F30" s="325"/>
      <c r="G30" s="325"/>
      <c r="H30" s="325"/>
      <c r="I30" s="325"/>
      <c r="J30" s="325"/>
      <c r="K30" s="326"/>
      <c r="L30" s="103"/>
    </row>
    <row r="31" spans="1:12" ht="11.25">
      <c r="A31" s="103"/>
      <c r="B31" s="327" t="s">
        <v>112</v>
      </c>
      <c r="C31" s="298"/>
      <c r="D31" s="298"/>
      <c r="E31" s="298"/>
      <c r="F31" s="298"/>
      <c r="G31" s="298"/>
      <c r="H31" s="298"/>
      <c r="I31" s="298"/>
      <c r="J31" s="298"/>
      <c r="K31" s="328"/>
      <c r="L31" s="103"/>
    </row>
    <row r="32" spans="1:12" ht="11.25">
      <c r="A32" s="103"/>
      <c r="B32" s="105"/>
      <c r="C32" s="68"/>
      <c r="D32" s="43"/>
      <c r="E32" s="68"/>
      <c r="F32" s="301" t="s">
        <v>106</v>
      </c>
      <c r="G32" s="303"/>
      <c r="H32" s="125" t="s">
        <v>125</v>
      </c>
      <c r="I32" s="301" t="s">
        <v>126</v>
      </c>
      <c r="J32" s="322"/>
      <c r="K32" s="323"/>
      <c r="L32" s="103"/>
    </row>
    <row r="33" spans="1:12" ht="11.25">
      <c r="A33" s="103"/>
      <c r="B33" s="106"/>
      <c r="C33" s="12">
        <f>C5</f>
        <v>39934</v>
      </c>
      <c r="D33" s="67">
        <f>D5</f>
        <v>40269</v>
      </c>
      <c r="E33" s="12">
        <f>E5</f>
        <v>40299</v>
      </c>
      <c r="F33" s="12" t="s">
        <v>109</v>
      </c>
      <c r="G33" s="58" t="s">
        <v>108</v>
      </c>
      <c r="H33" s="58" t="s">
        <v>127</v>
      </c>
      <c r="I33" s="12">
        <f>I5</f>
        <v>40238</v>
      </c>
      <c r="J33" s="12">
        <f>J5</f>
        <v>40269</v>
      </c>
      <c r="K33" s="170">
        <f>K5</f>
        <v>40299</v>
      </c>
      <c r="L33" s="103"/>
    </row>
    <row r="34" spans="1:12" ht="11.25">
      <c r="A34" s="103"/>
      <c r="B34" s="113" t="s">
        <v>52</v>
      </c>
      <c r="C34" s="154">
        <v>46763.37780917501</v>
      </c>
      <c r="D34" s="154">
        <v>53489.14606590675</v>
      </c>
      <c r="E34" s="154">
        <v>53883.069903904936</v>
      </c>
      <c r="F34" s="154">
        <v>393.92383799818344</v>
      </c>
      <c r="G34" s="154">
        <v>7119.6920947299295</v>
      </c>
      <c r="H34" s="155">
        <v>0.7364556493626006</v>
      </c>
      <c r="I34" s="155">
        <v>14.000043057947087</v>
      </c>
      <c r="J34" s="155">
        <v>13.525663112116826</v>
      </c>
      <c r="K34" s="176">
        <v>15.231400314264087</v>
      </c>
      <c r="L34" s="103"/>
    </row>
    <row r="35" spans="1:13" ht="11.25">
      <c r="A35" s="103"/>
      <c r="B35" s="113" t="s">
        <v>139</v>
      </c>
      <c r="C35" s="154">
        <v>2735.2712409628466</v>
      </c>
      <c r="D35" s="154">
        <v>4036.4122426099993</v>
      </c>
      <c r="E35" s="154">
        <v>4319.7989438899995</v>
      </c>
      <c r="F35" s="154">
        <v>283.3867012800001</v>
      </c>
      <c r="G35" s="154">
        <v>1584.5277029271529</v>
      </c>
      <c r="H35" s="155">
        <v>7.020757153802467</v>
      </c>
      <c r="I35" s="155">
        <v>72.04630231713635</v>
      </c>
      <c r="J35" s="155">
        <v>28.51032292582363</v>
      </c>
      <c r="K35" s="176">
        <v>57.9294542785227</v>
      </c>
      <c r="L35" s="103"/>
      <c r="M35" s="194"/>
    </row>
    <row r="36" spans="1:12" ht="11.25">
      <c r="A36" s="103"/>
      <c r="B36" s="114" t="s">
        <v>63</v>
      </c>
      <c r="C36" s="156">
        <v>240.2747661044834</v>
      </c>
      <c r="D36" s="156">
        <v>94.47347009</v>
      </c>
      <c r="E36" s="156">
        <v>176.83073336</v>
      </c>
      <c r="F36" s="156">
        <v>82.35726327</v>
      </c>
      <c r="G36" s="156">
        <v>-63.444032744483394</v>
      </c>
      <c r="H36" s="157">
        <v>87.17501663857851</v>
      </c>
      <c r="I36" s="157">
        <v>-92.2522964823196</v>
      </c>
      <c r="J36" s="157">
        <v>-65.43215651151246</v>
      </c>
      <c r="K36" s="177">
        <v>-26.40478389515726</v>
      </c>
      <c r="L36" s="103"/>
    </row>
    <row r="37" spans="1:12" ht="11.25">
      <c r="A37" s="103"/>
      <c r="B37" s="114" t="s">
        <v>53</v>
      </c>
      <c r="C37" s="156">
        <v>2180.140577611925</v>
      </c>
      <c r="D37" s="156">
        <v>3709.1257725199994</v>
      </c>
      <c r="E37" s="156">
        <v>3912.293210529999</v>
      </c>
      <c r="F37" s="156">
        <v>203.16743800999984</v>
      </c>
      <c r="G37" s="156">
        <v>1732.1526329180742</v>
      </c>
      <c r="H37" s="157">
        <v>5.477501990232238</v>
      </c>
      <c r="I37" s="157">
        <v>111.08395633360924</v>
      </c>
      <c r="J37" s="157">
        <v>47.7608368781709</v>
      </c>
      <c r="K37" s="177">
        <v>79.45141935826146</v>
      </c>
      <c r="L37" s="103"/>
    </row>
    <row r="38" spans="1:12" ht="11.25">
      <c r="A38" s="103"/>
      <c r="B38" s="114" t="s">
        <v>64</v>
      </c>
      <c r="C38" s="156">
        <v>86.453</v>
      </c>
      <c r="D38" s="156">
        <v>106.572</v>
      </c>
      <c r="E38" s="156">
        <v>108.18199999999999</v>
      </c>
      <c r="F38" s="156">
        <v>1.6099999999999852</v>
      </c>
      <c r="G38" s="156">
        <v>21.728999999999985</v>
      </c>
      <c r="H38" s="157">
        <v>1.5107157602371966</v>
      </c>
      <c r="I38" s="157">
        <v>27.39292124681785</v>
      </c>
      <c r="J38" s="157">
        <v>25.561996324049208</v>
      </c>
      <c r="K38" s="177">
        <v>25.13388777717371</v>
      </c>
      <c r="L38" s="103"/>
    </row>
    <row r="39" spans="1:12" ht="11.25">
      <c r="A39" s="103"/>
      <c r="B39" s="114" t="s">
        <v>65</v>
      </c>
      <c r="C39" s="156">
        <v>228.40289724643839</v>
      </c>
      <c r="D39" s="156">
        <v>126.241</v>
      </c>
      <c r="E39" s="156">
        <v>122.49300000000001</v>
      </c>
      <c r="F39" s="156">
        <v>-3.7479999999999905</v>
      </c>
      <c r="G39" s="156">
        <v>-105.90989724643838</v>
      </c>
      <c r="H39" s="157">
        <v>-2.9689245173913315</v>
      </c>
      <c r="I39" s="157">
        <v>-52.831105237917356</v>
      </c>
      <c r="J39" s="157">
        <v>-53.67767006718539</v>
      </c>
      <c r="K39" s="177">
        <v>-46.36976961468464</v>
      </c>
      <c r="L39" s="103"/>
    </row>
    <row r="40" spans="1:14" ht="11.25">
      <c r="A40" s="103"/>
      <c r="B40" s="113" t="s">
        <v>56</v>
      </c>
      <c r="C40" s="154">
        <v>41963.378965503594</v>
      </c>
      <c r="D40" s="154">
        <v>46644.39464693003</v>
      </c>
      <c r="E40" s="154">
        <v>46732.11017283016</v>
      </c>
      <c r="F40" s="154">
        <v>87.71552590013016</v>
      </c>
      <c r="G40" s="154">
        <v>4768.731207326564</v>
      </c>
      <c r="H40" s="155">
        <v>0.18805159025877355</v>
      </c>
      <c r="I40" s="155">
        <v>9.091184128095442</v>
      </c>
      <c r="J40" s="155">
        <v>11.957711186595832</v>
      </c>
      <c r="K40" s="176">
        <v>11.364030554466908</v>
      </c>
      <c r="L40" s="196"/>
      <c r="M40" s="196"/>
      <c r="N40" s="196"/>
    </row>
    <row r="41" spans="1:12" ht="11.25">
      <c r="A41" s="103"/>
      <c r="B41" s="114" t="s">
        <v>76</v>
      </c>
      <c r="C41" s="156">
        <v>2210.181807393591</v>
      </c>
      <c r="D41" s="156">
        <v>3414.77156507</v>
      </c>
      <c r="E41" s="156">
        <v>3756.9722706499997</v>
      </c>
      <c r="F41" s="156">
        <v>342.2007055799995</v>
      </c>
      <c r="G41" s="156">
        <v>1546.7904632564087</v>
      </c>
      <c r="H41" s="157">
        <v>10.02118879870035</v>
      </c>
      <c r="I41" s="157">
        <v>47.13544012025792</v>
      </c>
      <c r="J41" s="157">
        <v>64.71819095331387</v>
      </c>
      <c r="K41" s="177">
        <v>69.98476134777789</v>
      </c>
      <c r="L41" s="103"/>
    </row>
    <row r="42" spans="1:12" ht="11.25">
      <c r="A42" s="103"/>
      <c r="B42" s="114" t="s">
        <v>75</v>
      </c>
      <c r="C42" s="156">
        <v>1978.24099809</v>
      </c>
      <c r="D42" s="156">
        <v>2696.306416563701</v>
      </c>
      <c r="E42" s="156">
        <v>2667.591410833701</v>
      </c>
      <c r="F42" s="156">
        <v>-28.71500573000003</v>
      </c>
      <c r="G42" s="156">
        <v>689.3504127437011</v>
      </c>
      <c r="H42" s="157">
        <v>-1.064975610843065</v>
      </c>
      <c r="I42" s="157">
        <v>5.047054775904991</v>
      </c>
      <c r="J42" s="157">
        <v>28.79313035942632</v>
      </c>
      <c r="K42" s="177">
        <v>34.8466346319418</v>
      </c>
      <c r="L42" s="103"/>
    </row>
    <row r="43" spans="1:12" ht="11.25">
      <c r="A43" s="103"/>
      <c r="B43" s="114" t="s">
        <v>46</v>
      </c>
      <c r="C43" s="156">
        <v>2841.1685602199996</v>
      </c>
      <c r="D43" s="156">
        <v>2858.25381078</v>
      </c>
      <c r="E43" s="156">
        <v>2820.57289021</v>
      </c>
      <c r="F43" s="156">
        <v>-37.680920570000126</v>
      </c>
      <c r="G43" s="156">
        <v>-20.595670009999594</v>
      </c>
      <c r="H43" s="157">
        <v>-1.3183196127609547</v>
      </c>
      <c r="I43" s="157">
        <v>7.155031160771319</v>
      </c>
      <c r="J43" s="157">
        <v>3.9421424476035805</v>
      </c>
      <c r="K43" s="177">
        <v>3.9421424476035805</v>
      </c>
      <c r="L43" s="103"/>
    </row>
    <row r="44" spans="1:12" ht="12">
      <c r="A44" s="103"/>
      <c r="B44" s="114" t="s">
        <v>77</v>
      </c>
      <c r="C44" s="156">
        <v>83.05983872</v>
      </c>
      <c r="D44" s="156">
        <v>62.18415896999999</v>
      </c>
      <c r="E44" s="156">
        <v>57.40096336</v>
      </c>
      <c r="F44" s="156">
        <v>-4.783195609999993</v>
      </c>
      <c r="G44" s="156">
        <v>-25.658875360000003</v>
      </c>
      <c r="H44" s="157">
        <v>-7.691984082807308</v>
      </c>
      <c r="I44" s="157">
        <v>-68.0478843123756</v>
      </c>
      <c r="J44" s="157">
        <v>-10.613117009250118</v>
      </c>
      <c r="K44" s="177">
        <v>-30.892036097611154</v>
      </c>
      <c r="L44" s="332"/>
    </row>
    <row r="45" spans="1:12" ht="11.25">
      <c r="A45" s="103"/>
      <c r="B45" s="114" t="s">
        <v>135</v>
      </c>
      <c r="C45" s="156">
        <v>583.5316647399999</v>
      </c>
      <c r="D45" s="156">
        <v>430.70522315</v>
      </c>
      <c r="E45" s="156">
        <v>316.24713111999995</v>
      </c>
      <c r="F45" s="156">
        <v>-114.45809203000005</v>
      </c>
      <c r="G45" s="156">
        <v>-267.28453361999993</v>
      </c>
      <c r="H45" s="157">
        <v>-26.5745771999004</v>
      </c>
      <c r="I45" s="157">
        <v>-3.7342951012206638</v>
      </c>
      <c r="J45" s="157">
        <v>-15.748126460850564</v>
      </c>
      <c r="K45" s="177">
        <v>-45.80463233971922</v>
      </c>
      <c r="L45" s="103"/>
    </row>
    <row r="46" spans="1:12" ht="11.25">
      <c r="A46" s="103"/>
      <c r="B46" s="114" t="s">
        <v>141</v>
      </c>
      <c r="C46" s="156">
        <v>11794.082651709998</v>
      </c>
      <c r="D46" s="156">
        <v>13346.58566157632</v>
      </c>
      <c r="E46" s="156">
        <v>13201.46550369645</v>
      </c>
      <c r="F46" s="156">
        <v>-145.12015787987002</v>
      </c>
      <c r="G46" s="156">
        <v>1407.3828519864528</v>
      </c>
      <c r="H46" s="157">
        <v>-1.0873204695164738</v>
      </c>
      <c r="I46" s="157">
        <v>9.611030942994581</v>
      </c>
      <c r="J46" s="157">
        <v>11.793747678790446</v>
      </c>
      <c r="K46" s="177">
        <v>11.932957344354378</v>
      </c>
      <c r="L46" s="103"/>
    </row>
    <row r="47" spans="1:12" ht="11.25">
      <c r="A47" s="103"/>
      <c r="B47" s="114" t="s">
        <v>47</v>
      </c>
      <c r="C47" s="156">
        <v>22473.113444630002</v>
      </c>
      <c r="D47" s="156">
        <v>23835.587810820005</v>
      </c>
      <c r="E47" s="156">
        <v>23911.860002960002</v>
      </c>
      <c r="F47" s="156">
        <v>76.27219213999706</v>
      </c>
      <c r="G47" s="156">
        <v>1438.74655833</v>
      </c>
      <c r="H47" s="157">
        <v>0.3199929145669057</v>
      </c>
      <c r="I47" s="157">
        <v>5.863521425802376</v>
      </c>
      <c r="J47" s="157">
        <v>7.238604339094334</v>
      </c>
      <c r="K47" s="177">
        <v>6.402079364191482</v>
      </c>
      <c r="L47" s="103"/>
    </row>
    <row r="48" spans="1:12" ht="11.25">
      <c r="A48" s="103"/>
      <c r="B48" s="115" t="s">
        <v>142</v>
      </c>
      <c r="C48" s="154">
        <v>2064.7276027085713</v>
      </c>
      <c r="D48" s="154">
        <v>2808.339176366723</v>
      </c>
      <c r="E48" s="154">
        <v>2831.1607871847827</v>
      </c>
      <c r="F48" s="154">
        <v>22.821610818059526</v>
      </c>
      <c r="G48" s="154">
        <v>766.4331844762114</v>
      </c>
      <c r="H48" s="155">
        <v>0.8126372701029968</v>
      </c>
      <c r="I48" s="155">
        <v>41.64370300301843</v>
      </c>
      <c r="J48" s="155">
        <v>21.42724615963345</v>
      </c>
      <c r="K48" s="176">
        <v>37.31873694958941</v>
      </c>
      <c r="L48" s="103"/>
    </row>
    <row r="49" spans="1:12" ht="11.25">
      <c r="A49" s="103"/>
      <c r="B49" s="116"/>
      <c r="C49" s="154"/>
      <c r="D49" s="154"/>
      <c r="E49" s="154"/>
      <c r="F49" s="154"/>
      <c r="G49" s="156"/>
      <c r="H49" s="157"/>
      <c r="I49" s="157"/>
      <c r="J49" s="157"/>
      <c r="K49" s="177"/>
      <c r="L49" s="103"/>
    </row>
    <row r="50" spans="1:12" ht="11.25">
      <c r="A50" s="103"/>
      <c r="B50" s="113" t="s">
        <v>58</v>
      </c>
      <c r="C50" s="154">
        <v>46763.37829691761</v>
      </c>
      <c r="D50" s="154">
        <v>53489.154790041954</v>
      </c>
      <c r="E50" s="154">
        <v>53883.07668696232</v>
      </c>
      <c r="F50" s="154">
        <v>393.9218969203648</v>
      </c>
      <c r="G50" s="154">
        <v>7119.6983900447085</v>
      </c>
      <c r="H50" s="155">
        <v>0.7364519003274679</v>
      </c>
      <c r="I50" s="155">
        <v>13.993309376117447</v>
      </c>
      <c r="J50" s="155">
        <v>13.519021992244461</v>
      </c>
      <c r="K50" s="176">
        <v>15.224944495753</v>
      </c>
      <c r="L50" s="103"/>
    </row>
    <row r="51" spans="1:12" ht="11.25">
      <c r="A51" s="103"/>
      <c r="B51" s="117" t="s">
        <v>66</v>
      </c>
      <c r="C51" s="154">
        <v>1118.03169007</v>
      </c>
      <c r="D51" s="154">
        <v>718.25186115</v>
      </c>
      <c r="E51" s="154">
        <v>783.3911286395623</v>
      </c>
      <c r="F51" s="154">
        <v>65.13926748956237</v>
      </c>
      <c r="G51" s="154">
        <v>-334.64056143043763</v>
      </c>
      <c r="H51" s="155">
        <v>9.06914009039493</v>
      </c>
      <c r="I51" s="155">
        <v>-40.09876240048295</v>
      </c>
      <c r="J51" s="155">
        <v>-33.83475623413699</v>
      </c>
      <c r="K51" s="176">
        <v>-29.93122327413508</v>
      </c>
      <c r="L51" s="103"/>
    </row>
    <row r="52" spans="1:12" ht="11.25">
      <c r="A52" s="103"/>
      <c r="B52" s="114" t="s">
        <v>53</v>
      </c>
      <c r="C52" s="156">
        <v>339.00577201</v>
      </c>
      <c r="D52" s="156">
        <v>617.65186115</v>
      </c>
      <c r="E52" s="156">
        <v>660.66397841</v>
      </c>
      <c r="F52" s="156">
        <v>43.01211726000008</v>
      </c>
      <c r="G52" s="156">
        <v>321.65820640000004</v>
      </c>
      <c r="H52" s="157">
        <v>6.963812458998543</v>
      </c>
      <c r="I52" s="157">
        <v>119.26407273224235</v>
      </c>
      <c r="J52" s="157">
        <v>103.68738579785766</v>
      </c>
      <c r="K52" s="177">
        <v>94.88281113706576</v>
      </c>
      <c r="L52" s="103"/>
    </row>
    <row r="53" spans="1:12" ht="11.25">
      <c r="A53" s="103"/>
      <c r="B53" s="114" t="s">
        <v>143</v>
      </c>
      <c r="C53" s="156">
        <v>575.1112577999999</v>
      </c>
      <c r="D53" s="156">
        <v>100.6</v>
      </c>
      <c r="E53" s="156">
        <v>100.6</v>
      </c>
      <c r="F53" s="156">
        <v>0</v>
      </c>
      <c r="G53" s="156">
        <v>-474.51125779999984</v>
      </c>
      <c r="H53" s="157">
        <v>0</v>
      </c>
      <c r="I53" s="157">
        <v>-82.29790434565874</v>
      </c>
      <c r="J53" s="157">
        <v>-100</v>
      </c>
      <c r="K53" s="177">
        <v>-82.50773243688015</v>
      </c>
      <c r="L53" s="103"/>
    </row>
    <row r="54" spans="1:12" ht="11.25">
      <c r="A54" s="103"/>
      <c r="B54" s="114" t="s">
        <v>64</v>
      </c>
      <c r="C54" s="156">
        <v>203.91466026</v>
      </c>
      <c r="D54" s="156">
        <v>0</v>
      </c>
      <c r="E54" s="156">
        <v>22.127150229562236</v>
      </c>
      <c r="F54" s="156">
        <v>22.127150229562236</v>
      </c>
      <c r="G54" s="156">
        <v>-181.78751003043777</v>
      </c>
      <c r="H54" s="157">
        <v>0</v>
      </c>
      <c r="I54" s="157">
        <v>-100</v>
      </c>
      <c r="J54" s="157">
        <v>-100</v>
      </c>
      <c r="K54" s="177">
        <v>-89.14881833343951</v>
      </c>
      <c r="L54" s="103"/>
    </row>
    <row r="55" spans="1:12" ht="11.25">
      <c r="A55" s="103"/>
      <c r="B55" s="114" t="s">
        <v>67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7">
        <v>0</v>
      </c>
      <c r="I55" s="157">
        <v>0</v>
      </c>
      <c r="J55" s="157">
        <v>0</v>
      </c>
      <c r="K55" s="177">
        <v>0</v>
      </c>
      <c r="L55" s="103"/>
    </row>
    <row r="56" spans="1:12" ht="11.25">
      <c r="A56" s="103"/>
      <c r="B56" s="113" t="s">
        <v>68</v>
      </c>
      <c r="C56" s="154">
        <v>45645.34660684761</v>
      </c>
      <c r="D56" s="154">
        <v>52770.902928891956</v>
      </c>
      <c r="E56" s="154">
        <v>53099.68555832276</v>
      </c>
      <c r="F56" s="154">
        <v>328.78262943080335</v>
      </c>
      <c r="G56" s="154">
        <v>7454.338951475147</v>
      </c>
      <c r="H56" s="155">
        <v>0.6230377181035415</v>
      </c>
      <c r="I56" s="155">
        <v>15.194313450911734</v>
      </c>
      <c r="J56" s="155">
        <v>14.635697086763223</v>
      </c>
      <c r="K56" s="176">
        <v>16.330994297580514</v>
      </c>
      <c r="L56" s="103"/>
    </row>
    <row r="57" spans="1:12" ht="11.25">
      <c r="A57" s="103"/>
      <c r="B57" s="114" t="s">
        <v>69</v>
      </c>
      <c r="C57" s="156">
        <v>28821.746015117016</v>
      </c>
      <c r="D57" s="156">
        <v>32833.02188581521</v>
      </c>
      <c r="E57" s="156">
        <v>33161.54690439521</v>
      </c>
      <c r="F57" s="156">
        <v>328.52501858000323</v>
      </c>
      <c r="G57" s="156">
        <v>4339.8008892781945</v>
      </c>
      <c r="H57" s="157">
        <v>1.000593304273145</v>
      </c>
      <c r="I57" s="157">
        <v>11.073021850444631</v>
      </c>
      <c r="J57" s="157">
        <v>13.691482663711273</v>
      </c>
      <c r="K57" s="177">
        <v>15.057383709515616</v>
      </c>
      <c r="L57" s="103"/>
    </row>
    <row r="58" spans="1:12" ht="11.25">
      <c r="A58" s="103"/>
      <c r="B58" s="118" t="s">
        <v>70</v>
      </c>
      <c r="C58" s="156">
        <v>18650.648415612482</v>
      </c>
      <c r="D58" s="156">
        <v>22174.644782245206</v>
      </c>
      <c r="E58" s="156">
        <v>22387.752875135207</v>
      </c>
      <c r="F58" s="156">
        <v>213.108092890001</v>
      </c>
      <c r="G58" s="156">
        <v>3737.104459522725</v>
      </c>
      <c r="H58" s="157">
        <v>0.9610439985971381</v>
      </c>
      <c r="I58" s="157">
        <v>17.03474798332083</v>
      </c>
      <c r="J58" s="157">
        <v>20.036772497166556</v>
      </c>
      <c r="K58" s="177">
        <v>20.037396964678123</v>
      </c>
      <c r="L58" s="103"/>
    </row>
    <row r="59" spans="1:12" ht="11.25">
      <c r="A59" s="103"/>
      <c r="B59" s="118" t="s">
        <v>67</v>
      </c>
      <c r="C59" s="156">
        <v>10171.097599504536</v>
      </c>
      <c r="D59" s="156">
        <v>10658.37710357</v>
      </c>
      <c r="E59" s="156">
        <v>10773.794029260001</v>
      </c>
      <c r="F59" s="156">
        <v>115.41692569000224</v>
      </c>
      <c r="G59" s="156">
        <v>602.6964297554659</v>
      </c>
      <c r="H59" s="157">
        <v>1.0828752310831975</v>
      </c>
      <c r="I59" s="157">
        <v>0.2252681819235436</v>
      </c>
      <c r="J59" s="157">
        <v>2.4268610602554697</v>
      </c>
      <c r="K59" s="177">
        <v>5.925579062232433</v>
      </c>
      <c r="L59" s="103"/>
    </row>
    <row r="60" spans="1:12" ht="11.25">
      <c r="A60" s="103"/>
      <c r="B60" s="114" t="s">
        <v>144</v>
      </c>
      <c r="C60" s="156">
        <v>875.86389168</v>
      </c>
      <c r="D60" s="156">
        <v>194.19610040999996</v>
      </c>
      <c r="E60" s="156">
        <v>241.75958839999998</v>
      </c>
      <c r="F60" s="156">
        <v>47.56348799000003</v>
      </c>
      <c r="G60" s="156">
        <v>-634.1043032800001</v>
      </c>
      <c r="H60" s="157">
        <v>24.4925041695383</v>
      </c>
      <c r="I60" s="157">
        <v>-23.044217220804242</v>
      </c>
      <c r="J60" s="157">
        <v>-77.68554403284944</v>
      </c>
      <c r="K60" s="177">
        <v>-72.397584750722</v>
      </c>
      <c r="L60" s="103"/>
    </row>
    <row r="61" spans="1:12" ht="11.25">
      <c r="A61" s="103"/>
      <c r="B61" s="114" t="s">
        <v>116</v>
      </c>
      <c r="C61" s="156">
        <v>3.938109718176986</v>
      </c>
      <c r="D61" s="156">
        <v>3.9324</v>
      </c>
      <c r="E61" s="156">
        <v>3.9324</v>
      </c>
      <c r="F61" s="156">
        <v>0</v>
      </c>
      <c r="G61" s="156">
        <v>-0.005709718176986289</v>
      </c>
      <c r="H61" s="157">
        <v>0</v>
      </c>
      <c r="I61" s="157">
        <v>0.8060008251766781</v>
      </c>
      <c r="J61" s="157">
        <v>-0.11871559717804292</v>
      </c>
      <c r="K61" s="177">
        <v>-0.1449862646190958</v>
      </c>
      <c r="L61" s="103"/>
    </row>
    <row r="62" spans="1:12" ht="11.25">
      <c r="A62" s="103"/>
      <c r="B62" s="114" t="s">
        <v>117</v>
      </c>
      <c r="C62" s="156">
        <v>6905.656889756848</v>
      </c>
      <c r="D62" s="156">
        <v>10152.7859683</v>
      </c>
      <c r="E62" s="156">
        <v>9791.56333143</v>
      </c>
      <c r="F62" s="156">
        <v>-361.2226368700012</v>
      </c>
      <c r="G62" s="156">
        <v>2885.9064416731517</v>
      </c>
      <c r="H62" s="157">
        <v>-3.5578671509263082</v>
      </c>
      <c r="I62" s="157">
        <v>55.67083364047234</v>
      </c>
      <c r="J62" s="157">
        <v>41.41953201381157</v>
      </c>
      <c r="K62" s="177">
        <v>41.79046957797474</v>
      </c>
      <c r="L62" s="103"/>
    </row>
    <row r="63" spans="1:12" ht="11.25">
      <c r="A63" s="103"/>
      <c r="B63" s="114" t="s">
        <v>92</v>
      </c>
      <c r="C63" s="156">
        <v>676.6954288550988</v>
      </c>
      <c r="D63" s="156">
        <v>1323.15794787</v>
      </c>
      <c r="E63" s="156">
        <v>1287.51808602</v>
      </c>
      <c r="F63" s="156">
        <v>-35.63986184999999</v>
      </c>
      <c r="G63" s="156">
        <v>610.8226571649012</v>
      </c>
      <c r="H63" s="157">
        <v>-2.693545536825177</v>
      </c>
      <c r="I63" s="157">
        <v>113.98399578852963</v>
      </c>
      <c r="J63" s="157">
        <v>110.84761034468578</v>
      </c>
      <c r="K63" s="177">
        <v>90.26552140279006</v>
      </c>
      <c r="L63" s="103"/>
    </row>
    <row r="64" spans="1:12" ht="11.25">
      <c r="A64" s="103"/>
      <c r="B64" s="114" t="s">
        <v>93</v>
      </c>
      <c r="C64" s="156">
        <v>152.75904777</v>
      </c>
      <c r="D64" s="156">
        <v>133.42410327</v>
      </c>
      <c r="E64" s="156">
        <v>330.45879096000004</v>
      </c>
      <c r="F64" s="156">
        <v>197.03468769000006</v>
      </c>
      <c r="G64" s="156">
        <v>177.69974319000005</v>
      </c>
      <c r="H64" s="157">
        <v>147.6754820613456</v>
      </c>
      <c r="I64" s="157">
        <v>-91.07550303669399</v>
      </c>
      <c r="J64" s="157">
        <v>89.29479572897935</v>
      </c>
      <c r="K64" s="177">
        <v>116.32682043000932</v>
      </c>
      <c r="L64" s="103"/>
    </row>
    <row r="65" spans="1:12" ht="11.25">
      <c r="A65" s="103"/>
      <c r="B65" s="114" t="s">
        <v>64</v>
      </c>
      <c r="C65" s="156">
        <v>16.862017289999997</v>
      </c>
      <c r="D65" s="156">
        <v>4.923</v>
      </c>
      <c r="E65" s="156">
        <v>4.923</v>
      </c>
      <c r="F65" s="156">
        <v>0</v>
      </c>
      <c r="G65" s="156">
        <v>-11.939017289999997</v>
      </c>
      <c r="H65" s="157">
        <v>0</v>
      </c>
      <c r="I65" s="157">
        <v>-38.7</v>
      </c>
      <c r="J65" s="157">
        <v>-23.774596275625225</v>
      </c>
      <c r="K65" s="177">
        <v>-70.80420500505844</v>
      </c>
      <c r="L65" s="103"/>
    </row>
    <row r="66" spans="1:12" ht="11.25">
      <c r="A66" s="103"/>
      <c r="B66" s="114" t="s">
        <v>145</v>
      </c>
      <c r="C66" s="156">
        <v>0</v>
      </c>
      <c r="D66" s="156">
        <v>0</v>
      </c>
      <c r="E66" s="156">
        <v>0</v>
      </c>
      <c r="F66" s="156">
        <v>0</v>
      </c>
      <c r="G66" s="156">
        <v>0</v>
      </c>
      <c r="H66" s="157">
        <v>0</v>
      </c>
      <c r="I66" s="157">
        <v>0</v>
      </c>
      <c r="J66" s="157">
        <v>0</v>
      </c>
      <c r="K66" s="177">
        <v>0</v>
      </c>
      <c r="L66" s="103"/>
    </row>
    <row r="67" spans="1:12" ht="11.25">
      <c r="A67" s="103"/>
      <c r="B67" s="114" t="s">
        <v>146</v>
      </c>
      <c r="C67" s="156">
        <v>6131.983308746959</v>
      </c>
      <c r="D67" s="156">
        <v>6589.5560022911495</v>
      </c>
      <c r="E67" s="156">
        <v>6683.022643949113</v>
      </c>
      <c r="F67" s="156">
        <v>93.46664165796392</v>
      </c>
      <c r="G67" s="156">
        <v>551.0393352021547</v>
      </c>
      <c r="H67" s="157">
        <v>1.4184057564040145</v>
      </c>
      <c r="I67" s="157">
        <v>9.58367314717028</v>
      </c>
      <c r="J67" s="157">
        <v>8.876978165677961</v>
      </c>
      <c r="K67" s="177">
        <v>8.986314989085598</v>
      </c>
      <c r="L67" s="103"/>
    </row>
    <row r="68" spans="1:12" ht="11.25">
      <c r="A68" s="103"/>
      <c r="B68" s="114" t="s">
        <v>94</v>
      </c>
      <c r="C68" s="156">
        <v>2092.6478899216127</v>
      </c>
      <c r="D68" s="156">
        <v>2663.254910458084</v>
      </c>
      <c r="E68" s="156">
        <v>2732.565274388433</v>
      </c>
      <c r="F68" s="156">
        <v>69.31036393034901</v>
      </c>
      <c r="G68" s="156">
        <v>639.9173844668203</v>
      </c>
      <c r="H68" s="157">
        <v>2.602468267614215</v>
      </c>
      <c r="I68" s="157">
        <v>25.05329067909914</v>
      </c>
      <c r="J68" s="157">
        <v>13.704647512592661</v>
      </c>
      <c r="K68" s="177">
        <v>30.579314730811724</v>
      </c>
      <c r="L68" s="103"/>
    </row>
    <row r="69" spans="1:12" ht="11.25" customHeight="1" hidden="1">
      <c r="A69" s="103"/>
      <c r="B69" s="114" t="s">
        <v>95</v>
      </c>
      <c r="C69" s="156">
        <v>-32.805992008097334</v>
      </c>
      <c r="D69" s="156">
        <v>-1127.3493895224858</v>
      </c>
      <c r="E69" s="156">
        <v>-1137.6044612199998</v>
      </c>
      <c r="F69" s="156">
        <v>-10.25507169751404</v>
      </c>
      <c r="G69" s="156">
        <v>1127.3493895224858</v>
      </c>
      <c r="H69" s="157">
        <v>0.9096622389495246</v>
      </c>
      <c r="I69" s="157">
        <v>-2056.0953480599087</v>
      </c>
      <c r="J69" s="157">
        <v>-54398.27404712626</v>
      </c>
      <c r="K69" s="177">
        <v>3367.672798735093</v>
      </c>
      <c r="L69" s="103"/>
    </row>
    <row r="70" spans="1:12" ht="12" customHeight="1" hidden="1">
      <c r="A70" s="103"/>
      <c r="B70" s="114" t="s">
        <v>95</v>
      </c>
      <c r="C70" s="147"/>
      <c r="D70" s="147"/>
      <c r="E70" s="147"/>
      <c r="F70" s="147"/>
      <c r="G70" s="147"/>
      <c r="H70" s="147"/>
      <c r="I70" s="147"/>
      <c r="J70" s="147"/>
      <c r="K70" s="178"/>
      <c r="L70" s="103"/>
    </row>
    <row r="71" spans="1:12" ht="12" customHeight="1" hidden="1" thickBot="1">
      <c r="A71" s="103"/>
      <c r="B71" s="119"/>
      <c r="C71" s="148">
        <v>0.0004877426035818644</v>
      </c>
      <c r="D71" s="148">
        <v>0.00872413520119153</v>
      </c>
      <c r="E71" s="148">
        <v>0.006783057382563129</v>
      </c>
      <c r="F71" s="148">
        <v>-0.0019410778186284006</v>
      </c>
      <c r="G71" s="148">
        <v>0.006295314778981265</v>
      </c>
      <c r="H71" s="148">
        <v>-3.749035132671885E-06</v>
      </c>
      <c r="I71" s="148">
        <v>-0.006733681829640403</v>
      </c>
      <c r="J71" s="148">
        <v>-0.006641119872364598</v>
      </c>
      <c r="K71" s="179">
        <v>-0.00645581851108723</v>
      </c>
      <c r="L71" s="103"/>
    </row>
    <row r="72" spans="1:12" ht="12" customHeight="1" hidden="1">
      <c r="A72" s="103"/>
      <c r="B72" s="119"/>
      <c r="C72" s="55"/>
      <c r="D72" s="55"/>
      <c r="E72" s="55"/>
      <c r="F72" s="55"/>
      <c r="G72" s="38"/>
      <c r="H72" s="38"/>
      <c r="I72" s="38"/>
      <c r="J72" s="38"/>
      <c r="K72" s="73"/>
      <c r="L72" s="103"/>
    </row>
    <row r="73" spans="1:12" ht="12" customHeight="1" thickBot="1">
      <c r="A73" s="103"/>
      <c r="B73" s="120"/>
      <c r="C73" s="121"/>
      <c r="D73" s="121"/>
      <c r="E73" s="121"/>
      <c r="F73" s="121"/>
      <c r="G73" s="40"/>
      <c r="H73" s="40"/>
      <c r="I73" s="40"/>
      <c r="J73" s="40"/>
      <c r="K73" s="77"/>
      <c r="L73" s="103"/>
    </row>
    <row r="74" ht="11.25">
      <c r="B74" s="54"/>
    </row>
    <row r="75" spans="2:10" ht="11.25">
      <c r="B75" s="52"/>
      <c r="E75" s="190"/>
      <c r="J75" t="s">
        <v>118</v>
      </c>
    </row>
    <row r="76" ht="12" thickBot="1">
      <c r="B76" s="52"/>
    </row>
    <row r="77" spans="2:12" ht="11.25">
      <c r="B77" s="324" t="s">
        <v>74</v>
      </c>
      <c r="C77" s="325"/>
      <c r="D77" s="325"/>
      <c r="E77" s="325"/>
      <c r="F77" s="325"/>
      <c r="G77" s="325"/>
      <c r="H77" s="325"/>
      <c r="I77" s="325"/>
      <c r="J77" s="325"/>
      <c r="K77" s="326"/>
      <c r="L77" s="103"/>
    </row>
    <row r="78" spans="2:12" ht="12" thickBot="1">
      <c r="B78" s="329" t="s">
        <v>113</v>
      </c>
      <c r="C78" s="330"/>
      <c r="D78" s="330"/>
      <c r="E78" s="330"/>
      <c r="F78" s="330"/>
      <c r="G78" s="330"/>
      <c r="H78" s="330"/>
      <c r="I78" s="330"/>
      <c r="J78" s="330"/>
      <c r="K78" s="331"/>
      <c r="L78" s="103"/>
    </row>
    <row r="79" spans="2:12" ht="11.25">
      <c r="B79" s="105"/>
      <c r="C79" s="104"/>
      <c r="D79" s="43"/>
      <c r="E79" s="104"/>
      <c r="F79" s="301" t="s">
        <v>106</v>
      </c>
      <c r="G79" s="303"/>
      <c r="H79" s="124" t="s">
        <v>123</v>
      </c>
      <c r="I79" s="301" t="s">
        <v>126</v>
      </c>
      <c r="J79" s="322"/>
      <c r="K79" s="323"/>
      <c r="L79" s="103"/>
    </row>
    <row r="80" spans="2:11" ht="11.25">
      <c r="B80" s="106"/>
      <c r="C80" s="12">
        <f>C33</f>
        <v>39934</v>
      </c>
      <c r="D80" s="67">
        <f>D33</f>
        <v>40269</v>
      </c>
      <c r="E80" s="12">
        <f>E33</f>
        <v>40299</v>
      </c>
      <c r="F80" s="12" t="s">
        <v>109</v>
      </c>
      <c r="G80" s="58" t="s">
        <v>108</v>
      </c>
      <c r="H80" s="58" t="s">
        <v>127</v>
      </c>
      <c r="I80" s="12">
        <f>I33</f>
        <v>40238</v>
      </c>
      <c r="J80" s="12">
        <f>J33</f>
        <v>40269</v>
      </c>
      <c r="K80" s="170">
        <f>K33</f>
        <v>40299</v>
      </c>
    </row>
    <row r="81" spans="2:14" ht="11.25">
      <c r="B81" s="72" t="s">
        <v>52</v>
      </c>
      <c r="C81" s="158">
        <v>48223.22893246633</v>
      </c>
      <c r="D81" s="158">
        <v>55815.999903146745</v>
      </c>
      <c r="E81" s="158">
        <v>56238.24501366538</v>
      </c>
      <c r="F81" s="158">
        <v>422.24511051863374</v>
      </c>
      <c r="G81" s="158">
        <v>8015.01608119905</v>
      </c>
      <c r="H81" s="159">
        <v>0.7564947528510167</v>
      </c>
      <c r="I81" s="159">
        <v>12.559110325350197</v>
      </c>
      <c r="J81" s="159">
        <v>13.945515012894095</v>
      </c>
      <c r="K81" s="180">
        <v>16.620654109295717</v>
      </c>
      <c r="L81" s="53"/>
      <c r="M81" s="53"/>
      <c r="N81" s="53"/>
    </row>
    <row r="82" spans="2:14" ht="11.25">
      <c r="B82" s="72" t="s">
        <v>1</v>
      </c>
      <c r="C82" s="158">
        <v>15640.551090142846</v>
      </c>
      <c r="D82" s="158">
        <v>16711.55743794</v>
      </c>
      <c r="E82" s="158">
        <v>16486.68630679044</v>
      </c>
      <c r="F82" s="158">
        <v>-224.8711311495572</v>
      </c>
      <c r="G82" s="158">
        <v>846.1352166475954</v>
      </c>
      <c r="H82" s="159">
        <v>-1.3456024789110057</v>
      </c>
      <c r="I82" s="159">
        <v>8.303248021697996</v>
      </c>
      <c r="J82" s="159">
        <v>1.2884409003082409</v>
      </c>
      <c r="K82" s="180">
        <v>5.409881095435676</v>
      </c>
      <c r="L82" s="53"/>
      <c r="M82" s="53"/>
      <c r="N82" s="53"/>
    </row>
    <row r="83" spans="2:11" ht="11.25">
      <c r="B83" s="72" t="s">
        <v>71</v>
      </c>
      <c r="C83" s="158">
        <v>30200.28579566491</v>
      </c>
      <c r="D83" s="158">
        <v>35948.393052140025</v>
      </c>
      <c r="E83" s="158">
        <v>36564.06075729016</v>
      </c>
      <c r="F83" s="158">
        <v>615.667705150132</v>
      </c>
      <c r="G83" s="158">
        <v>6363.774961625248</v>
      </c>
      <c r="H83" s="159">
        <v>1.7126431889658025</v>
      </c>
      <c r="I83" s="159">
        <v>12.580279788740878</v>
      </c>
      <c r="J83" s="159">
        <v>20.376696522013283</v>
      </c>
      <c r="K83" s="180">
        <v>21.07190310940281</v>
      </c>
    </row>
    <row r="84" spans="2:11" ht="11.25">
      <c r="B84" s="74" t="s">
        <v>147</v>
      </c>
      <c r="C84" s="160">
        <v>-7601.8353553150955</v>
      </c>
      <c r="D84" s="160">
        <v>-4609.023761456298</v>
      </c>
      <c r="E84" s="160">
        <v>-3767.9597936763007</v>
      </c>
      <c r="F84" s="160">
        <v>841.0639677799977</v>
      </c>
      <c r="G84" s="160">
        <v>3833.875561638795</v>
      </c>
      <c r="H84" s="161">
        <v>-18.2482020338782</v>
      </c>
      <c r="I84" s="161">
        <v>-25.967100967368918</v>
      </c>
      <c r="J84" s="161">
        <v>-39.834476864355636</v>
      </c>
      <c r="K84" s="181">
        <v>-50.43355166799559</v>
      </c>
    </row>
    <row r="85" spans="2:11" ht="11.25">
      <c r="B85" s="74" t="s">
        <v>148</v>
      </c>
      <c r="C85" s="160">
        <v>37802.121150980005</v>
      </c>
      <c r="D85" s="160">
        <v>40557.41681359633</v>
      </c>
      <c r="E85" s="160">
        <v>40332.02055096646</v>
      </c>
      <c r="F85" s="160">
        <v>-225.39626262986712</v>
      </c>
      <c r="G85" s="160">
        <v>2529.8993999864542</v>
      </c>
      <c r="H85" s="161">
        <v>-0.5557461010542123</v>
      </c>
      <c r="I85" s="161">
        <v>6.846830628400391</v>
      </c>
      <c r="J85" s="161">
        <v>8.08444974557565</v>
      </c>
      <c r="K85" s="181">
        <v>6.692480006299517</v>
      </c>
    </row>
    <row r="86" spans="2:11" ht="11.25">
      <c r="B86" s="185" t="s">
        <v>46</v>
      </c>
      <c r="C86" s="160">
        <v>2841.1685602199996</v>
      </c>
      <c r="D86" s="160">
        <v>2858.25381078</v>
      </c>
      <c r="E86" s="160">
        <v>2820.57289021</v>
      </c>
      <c r="F86" s="160">
        <v>-37.680920570000126</v>
      </c>
      <c r="G86" s="160">
        <v>-20.595670009999594</v>
      </c>
      <c r="H86" s="161">
        <v>-1.3183196127609547</v>
      </c>
      <c r="I86" s="161">
        <v>7.155031160771319</v>
      </c>
      <c r="J86" s="161">
        <v>3.9421424476035805</v>
      </c>
      <c r="K86" s="181">
        <v>-0.7249013767914203</v>
      </c>
    </row>
    <row r="87" spans="2:11" ht="11.25">
      <c r="B87" s="185" t="s">
        <v>133</v>
      </c>
      <c r="C87" s="160">
        <v>83.05983872</v>
      </c>
      <c r="D87" s="160">
        <v>62.18415896999999</v>
      </c>
      <c r="E87" s="160">
        <v>57.40096336</v>
      </c>
      <c r="F87" s="160">
        <v>-4.783195609999993</v>
      </c>
      <c r="G87" s="160">
        <v>-25.658875360000003</v>
      </c>
      <c r="H87" s="161">
        <v>-7.691984082807308</v>
      </c>
      <c r="I87" s="161">
        <v>-68.0478843123756</v>
      </c>
      <c r="J87" s="161">
        <v>-10.613117009250118</v>
      </c>
      <c r="K87" s="181">
        <v>-30.892036097611154</v>
      </c>
    </row>
    <row r="88" spans="2:11" ht="11.25">
      <c r="B88" s="185" t="s">
        <v>135</v>
      </c>
      <c r="C88" s="160">
        <v>583.5316647399999</v>
      </c>
      <c r="D88" s="160">
        <v>430.70522315</v>
      </c>
      <c r="E88" s="160">
        <v>316.24713111999995</v>
      </c>
      <c r="F88" s="160">
        <v>-114.45809203000005</v>
      </c>
      <c r="G88" s="160">
        <v>-267.28453361999993</v>
      </c>
      <c r="H88" s="161">
        <v>-26.5745771999004</v>
      </c>
      <c r="I88" s="161">
        <v>-3.7342951012206638</v>
      </c>
      <c r="J88" s="161">
        <v>-15.748126460850564</v>
      </c>
      <c r="K88" s="181">
        <v>-45.80463233971922</v>
      </c>
    </row>
    <row r="89" spans="2:11" ht="11.25">
      <c r="B89" s="185" t="s">
        <v>122</v>
      </c>
      <c r="C89" s="160">
        <v>11794.082651709998</v>
      </c>
      <c r="D89" s="160">
        <v>13346.58566157632</v>
      </c>
      <c r="E89" s="160">
        <v>13201.46550369645</v>
      </c>
      <c r="F89" s="160">
        <v>-145.12015787987002</v>
      </c>
      <c r="G89" s="160">
        <v>1407.3828519864528</v>
      </c>
      <c r="H89" s="161">
        <v>-1.0873204695164738</v>
      </c>
      <c r="I89" s="161">
        <v>9.611030942994581</v>
      </c>
      <c r="J89" s="161">
        <v>11.793747678790446</v>
      </c>
      <c r="K89" s="181">
        <v>11.932957344354378</v>
      </c>
    </row>
    <row r="90" spans="2:11" ht="11.25">
      <c r="B90" s="185" t="s">
        <v>47</v>
      </c>
      <c r="C90" s="160">
        <v>22495.42543559</v>
      </c>
      <c r="D90" s="160">
        <v>23857.312959120005</v>
      </c>
      <c r="E90" s="160">
        <v>23933.767062580002</v>
      </c>
      <c r="F90" s="160">
        <v>76.45410345999699</v>
      </c>
      <c r="G90" s="160">
        <v>1438.3416269900008</v>
      </c>
      <c r="H90" s="161">
        <v>0.32046401701232097</v>
      </c>
      <c r="I90" s="161">
        <v>5.85301997096872</v>
      </c>
      <c r="J90" s="161">
        <v>7.225035496157828</v>
      </c>
      <c r="K90" s="181">
        <v>6.393929428489042</v>
      </c>
    </row>
    <row r="91" spans="2:11" ht="11.25">
      <c r="B91" s="185" t="s">
        <v>131</v>
      </c>
      <c r="C91" s="160">
        <v>4.853</v>
      </c>
      <c r="D91" s="160">
        <v>2.375</v>
      </c>
      <c r="E91" s="160">
        <v>2.567</v>
      </c>
      <c r="F91" s="160">
        <v>0.19200000000000017</v>
      </c>
      <c r="G91" s="160">
        <v>-2.2859999999999996</v>
      </c>
      <c r="H91" s="161">
        <v>8.084210526315797</v>
      </c>
      <c r="I91" s="161">
        <v>-51.06119925819081</v>
      </c>
      <c r="J91" s="161">
        <v>-51.06119925819081</v>
      </c>
      <c r="K91" s="181">
        <v>-47.104883577168756</v>
      </c>
    </row>
    <row r="92" spans="2:14" ht="11.25">
      <c r="B92" s="71" t="s">
        <v>142</v>
      </c>
      <c r="C92" s="160">
        <v>2382.3920466585714</v>
      </c>
      <c r="D92" s="160">
        <v>3156.049413066723</v>
      </c>
      <c r="E92" s="160">
        <v>3187.497949584783</v>
      </c>
      <c r="F92" s="160">
        <v>31.448536518059882</v>
      </c>
      <c r="G92" s="160">
        <v>805.1059029262115</v>
      </c>
      <c r="H92" s="161">
        <v>0.9964526026701667</v>
      </c>
      <c r="I92" s="161">
        <v>38.213998638182446</v>
      </c>
      <c r="J92" s="161">
        <v>20.34103306088424</v>
      </c>
      <c r="K92" s="181">
        <v>33.794014047999134</v>
      </c>
      <c r="L92" s="53"/>
      <c r="M92" s="53"/>
      <c r="N92" s="53"/>
    </row>
    <row r="93" spans="2:11" ht="11.25">
      <c r="B93" s="71"/>
      <c r="C93" s="160"/>
      <c r="D93" s="160"/>
      <c r="E93" s="160"/>
      <c r="F93" s="158"/>
      <c r="G93" s="158"/>
      <c r="H93" s="159"/>
      <c r="I93" s="159"/>
      <c r="J93" s="159"/>
      <c r="K93" s="180"/>
    </row>
    <row r="94" spans="2:14" ht="11.25">
      <c r="B94" s="72" t="s">
        <v>58</v>
      </c>
      <c r="C94" s="158">
        <v>48223.28391602893</v>
      </c>
      <c r="D94" s="158">
        <v>55815.982527241955</v>
      </c>
      <c r="E94" s="158">
        <v>56238.244686552745</v>
      </c>
      <c r="F94" s="158">
        <v>422.2621593107906</v>
      </c>
      <c r="G94" s="158">
        <v>8014.960770523816</v>
      </c>
      <c r="H94" s="159">
        <v>0.7565255329953177</v>
      </c>
      <c r="I94" s="159">
        <v>12.55902848221615</v>
      </c>
      <c r="J94" s="159">
        <v>13.945417423429785</v>
      </c>
      <c r="K94" s="180">
        <v>16.62052046160989</v>
      </c>
      <c r="L94" s="53"/>
      <c r="M94" s="53"/>
      <c r="N94" s="53"/>
    </row>
    <row r="95" spans="2:11" ht="11.25">
      <c r="B95" s="72" t="s">
        <v>72</v>
      </c>
      <c r="C95" s="158">
        <v>30171.927213609677</v>
      </c>
      <c r="D95" s="158">
        <v>34110.4872733052</v>
      </c>
      <c r="E95" s="158">
        <v>34424.234178815204</v>
      </c>
      <c r="F95" s="158">
        <v>313.74690551000094</v>
      </c>
      <c r="G95" s="158">
        <v>4252.306965205527</v>
      </c>
      <c r="H95" s="159">
        <v>0.9197960234227982</v>
      </c>
      <c r="I95" s="159">
        <v>10.077511427032992</v>
      </c>
      <c r="J95" s="159">
        <v>12.805765725048591</v>
      </c>
      <c r="K95" s="180">
        <v>14.093587509674999</v>
      </c>
    </row>
    <row r="96" spans="2:11" ht="11.25">
      <c r="B96" s="74" t="s">
        <v>149</v>
      </c>
      <c r="C96" s="160">
        <v>1235.0133666344834</v>
      </c>
      <c r="D96" s="160">
        <v>1145.1952304699998</v>
      </c>
      <c r="E96" s="160">
        <v>1130.75612442</v>
      </c>
      <c r="F96" s="160">
        <v>-14.439106049999737</v>
      </c>
      <c r="G96" s="160">
        <v>-104.25724221448331</v>
      </c>
      <c r="H96" s="161">
        <v>-1.260842314552234</v>
      </c>
      <c r="I96" s="161">
        <v>-14.243346204002716</v>
      </c>
      <c r="J96" s="161">
        <v>-8.237080990934153</v>
      </c>
      <c r="K96" s="181">
        <v>-8.441790593618691</v>
      </c>
    </row>
    <row r="97" spans="2:11" ht="11.25">
      <c r="B97" s="74" t="s">
        <v>150</v>
      </c>
      <c r="C97" s="160">
        <v>18761.878137752483</v>
      </c>
      <c r="D97" s="160">
        <v>22302.982539265206</v>
      </c>
      <c r="E97" s="160">
        <v>22515.751625135206</v>
      </c>
      <c r="F97" s="160">
        <v>212.7690858700007</v>
      </c>
      <c r="G97" s="160">
        <v>3753.8734873827234</v>
      </c>
      <c r="H97" s="161">
        <v>0.953993868288302</v>
      </c>
      <c r="I97" s="161">
        <v>17.058781515872433</v>
      </c>
      <c r="J97" s="161">
        <v>20.034507410775326</v>
      </c>
      <c r="K97" s="181">
        <v>20.007983528201322</v>
      </c>
    </row>
    <row r="98" spans="2:13" ht="11.25">
      <c r="B98" s="74" t="s">
        <v>151</v>
      </c>
      <c r="C98" s="160">
        <v>10171.097599504536</v>
      </c>
      <c r="D98" s="160">
        <v>10658.37710357</v>
      </c>
      <c r="E98" s="160">
        <v>10773.794029260001</v>
      </c>
      <c r="F98" s="160">
        <v>115.41692569000224</v>
      </c>
      <c r="G98" s="160">
        <v>602.6964297554659</v>
      </c>
      <c r="H98" s="161">
        <v>1.0828752310831975</v>
      </c>
      <c r="I98" s="161">
        <v>0.2252681819235436</v>
      </c>
      <c r="J98" s="161">
        <v>2.4268610602554697</v>
      </c>
      <c r="K98" s="181">
        <v>5.925579062232433</v>
      </c>
      <c r="L98" s="53"/>
      <c r="M98" s="53"/>
    </row>
    <row r="99" spans="2:11" ht="11.25">
      <c r="B99" s="74" t="s">
        <v>104</v>
      </c>
      <c r="C99" s="160">
        <v>3.938109718176986</v>
      </c>
      <c r="D99" s="160">
        <v>3.9324</v>
      </c>
      <c r="E99" s="160">
        <v>3.9324</v>
      </c>
      <c r="F99" s="160">
        <v>0</v>
      </c>
      <c r="G99" s="160">
        <v>-0.005709718176986289</v>
      </c>
      <c r="H99" s="161">
        <v>0</v>
      </c>
      <c r="I99" s="161">
        <v>0.8060008251766781</v>
      </c>
      <c r="J99" s="161">
        <v>-0.11871559717804292</v>
      </c>
      <c r="K99" s="181">
        <v>-0.1449862646190958</v>
      </c>
    </row>
    <row r="100" spans="2:14" ht="11.25">
      <c r="B100" s="71" t="s">
        <v>152</v>
      </c>
      <c r="C100" s="160">
        <v>18055.294812137425</v>
      </c>
      <c r="D100" s="160">
        <v>21709.42765393675</v>
      </c>
      <c r="E100" s="160">
        <v>21817.94290773754</v>
      </c>
      <c r="F100" s="160">
        <v>108.51525380078965</v>
      </c>
      <c r="G100" s="160">
        <v>3762.648095600114</v>
      </c>
      <c r="H100" s="161">
        <v>0.4998531307715599</v>
      </c>
      <c r="I100" s="161">
        <v>16.4180216633085</v>
      </c>
      <c r="J100" s="161">
        <v>15.78033609768601</v>
      </c>
      <c r="K100" s="181">
        <v>20.839582708285253</v>
      </c>
      <c r="N100" s="53"/>
    </row>
    <row r="101" spans="2:11" ht="12" thickBot="1">
      <c r="B101" s="122"/>
      <c r="C101" s="167"/>
      <c r="D101" s="167"/>
      <c r="E101" s="167"/>
      <c r="F101" s="168"/>
      <c r="G101" s="168"/>
      <c r="H101" s="169"/>
      <c r="I101" s="169"/>
      <c r="J101" s="169"/>
      <c r="K101" s="182"/>
    </row>
    <row r="102" spans="2:13" ht="12" customHeight="1" hidden="1" thickBot="1">
      <c r="B102" s="39" t="s">
        <v>73</v>
      </c>
      <c r="C102" s="162">
        <v>-0.05498356260068249</v>
      </c>
      <c r="D102" s="162">
        <v>0.017375904790242203</v>
      </c>
      <c r="E102" s="162">
        <v>0.0003271126333856955</v>
      </c>
      <c r="F102" s="162">
        <v>-0.017048792156856507</v>
      </c>
      <c r="G102" s="162">
        <v>0.055310675234068185</v>
      </c>
      <c r="H102" s="162">
        <v>-3.078014430091258E-05</v>
      </c>
      <c r="I102" s="162">
        <v>8.184313404768773E-05</v>
      </c>
      <c r="J102" s="162">
        <v>9.758946431048798E-05</v>
      </c>
      <c r="K102" s="162">
        <v>0.0001336476858284641</v>
      </c>
      <c r="L102" s="53"/>
      <c r="M102" s="53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sam526</cp:lastModifiedBy>
  <cp:lastPrinted>2010-07-02T15:22:12Z</cp:lastPrinted>
  <dcterms:created xsi:type="dcterms:W3CDTF">1999-07-02T10:21:54Z</dcterms:created>
  <dcterms:modified xsi:type="dcterms:W3CDTF">2010-07-02T15:23:45Z</dcterms:modified>
  <cp:category/>
  <cp:version/>
  <cp:contentType/>
  <cp:contentStatus/>
</cp:coreProperties>
</file>