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385" windowWidth="9585" windowHeight="5730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'S5'!$B$2:$Q$20</definedName>
    <definedName name="_xlnm.Print_Area" localSheetId="6">'S6'!$A$1:$O$75</definedName>
    <definedName name="_xlnm.Print_Area" localSheetId="7">'S7'!$B$77:$I$101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'S5'!$B$2:$B$20</definedName>
    <definedName name="Z_1119964D_FB32_11D4_9C51_0090277BCB1A_.wvu.PrintArea" localSheetId="6" hidden="1">'S6'!$A$1:$J$64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'S6'!$A$1:$J$64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'S5'!$B$2:$B$21</definedName>
    <definedName name="Z_5050E6E2_8401_11D4_81A4_00608C91AED9_.wvu.PrintArea" localSheetId="6" hidden="1">'S6'!$A$1:$I$64</definedName>
  </definedNames>
  <calcPr fullCalcOnLoad="1"/>
</workbook>
</file>

<file path=xl/sharedStrings.xml><?xml version="1.0" encoding="utf-8"?>
<sst xmlns="http://schemas.openxmlformats.org/spreadsheetml/2006/main" count="243" uniqueCount="169">
  <si>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</si>
  <si>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</si>
  <si>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</si>
  <si>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</si>
  <si>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</si>
  <si>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</si>
  <si>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</si>
  <si>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</si>
  <si>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</si>
  <si>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</si>
  <si>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</si>
  <si>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</si>
  <si>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</si>
  <si>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</si>
  <si>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</si>
  <si>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</si>
  <si>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</si>
  <si>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</si>
  <si>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</si>
  <si>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</si>
  <si>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</si>
  <si>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</si>
  <si>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</si>
  <si>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</si>
  <si>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</si>
  <si>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</si>
  <si>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</si>
  <si>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</si>
  <si>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</si>
  <si>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</si>
  <si>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</si>
  <si>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</si>
  <si>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</si>
  <si>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</si>
  <si>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</si>
  <si>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</si>
  <si>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</si>
  <si>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</si>
  <si>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</si>
  <si>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</si>
  <si>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</si>
  <si>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</si>
  <si>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</si>
  <si>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</si>
  <si>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</si>
  <si>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</si>
  <si>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</si>
  <si>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</si>
  <si>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</si>
  <si>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</si>
  <si>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</si>
  <si>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</si>
  <si>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</si>
  <si>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</si>
  <si>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</si>
  <si>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</si>
  <si>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</si>
  <si>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</si>
  <si>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</si>
  <si>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</si>
  <si>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</si>
  <si>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</si>
  <si>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</si>
  <si>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</si>
  <si>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</si>
  <si>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</si>
  <si>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</si>
  <si>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</si>
  <si>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</si>
  <si>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</si>
  <si>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</si>
  <si>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</si>
  <si>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</si>
  <si>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</si>
  <si>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</si>
  <si>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</si>
  <si>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</si>
  <si>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</si>
  <si>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</si>
  <si>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</si>
  <si>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</si>
  <si>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</si>
  <si>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</si>
  <si>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</si>
  <si>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</si>
  <si>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</si>
  <si>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</si>
  <si>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</si>
  <si>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</si>
  <si>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</si>
  <si>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</si>
  <si>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</si>
  <si>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</si>
  <si>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</si>
  <si>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</si>
  <si>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</si>
  <si>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</si>
  <si>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</si>
  <si>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</si>
  <si>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</si>
  <si>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</si>
  <si>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</si>
  <si>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</si>
  <si>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</si>
  <si>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</si>
  <si>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</si>
  <si>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</si>
  <si>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</si>
  <si>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</si>
  <si>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</si>
  <si>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</si>
  <si>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</si>
  <si>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</si>
  <si>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</si>
  <si>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</si>
  <si>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</si>
  <si>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</si>
  <si>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</si>
  <si>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</si>
  <si>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</si>
  <si>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</si>
  <si>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</si>
  <si>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</si>
  <si>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</si>
  <si>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</si>
  <si>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</si>
  <si>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</si>
  <si>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</si>
  <si>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</si>
  <si>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</si>
  <si>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</si>
  <si>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</si>
  <si>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</si>
  <si>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</si>
  <si>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</si>
  <si>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</si>
  <si>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</si>
  <si>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</si>
  <si>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</si>
  <si>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</si>
  <si>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</si>
  <si>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</si>
  <si>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 xml:space="preserve">       International Reserves** and Exchange rates</t>
  </si>
  <si>
    <t xml:space="preserve">     </t>
  </si>
  <si>
    <t>**International Reserves of the Bank of Namibia</t>
  </si>
  <si>
    <t xml:space="preserve">   Source: NSX</t>
  </si>
  <si>
    <t xml:space="preserve">   Source: BON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</si>
  <si>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</si>
  <si>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</si>
  <si>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</si>
  <si>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</si>
  <si>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</si>
  <si>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                         U.S Dollar/Namibia Dollar exchange rate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</si>
  <si>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</si>
  <si>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</si>
  <si>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</si>
  <si>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</si>
  <si>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</si>
  <si>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 xml:space="preserve">Change over </t>
  </si>
  <si>
    <t>Change in N$ mill</t>
  </si>
  <si>
    <t xml:space="preserve">   **International reserves</t>
  </si>
  <si>
    <t xml:space="preserve">Percentage Change </t>
  </si>
  <si>
    <t>One year</t>
  </si>
  <si>
    <t xml:space="preserve">  Percentage Change</t>
  </si>
  <si>
    <t>One month</t>
  </si>
  <si>
    <t>** Average lending rate includes both interbank and intragroup rates</t>
  </si>
  <si>
    <t>Domestic claims and other sectors claims (month-on-month percentage changes)</t>
  </si>
  <si>
    <t xml:space="preserve"> Other Sectors Claims = Private Sector Credit</t>
  </si>
  <si>
    <t xml:space="preserve">   Other Assets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</si>
</sst>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2"/>
      <color indexed="3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5"/>
      <color indexed="8"/>
      <name val="Arial"/>
      <family val="2"/>
    </font>
    <font>
      <sz val="12"/>
      <color indexed="16"/>
      <name val="Arial"/>
      <family val="2"/>
    </font>
    <font>
      <sz val="6.75"/>
      <color indexed="16"/>
      <name val="Arial"/>
      <family val="2"/>
    </font>
    <font>
      <sz val="18.75"/>
      <color indexed="8"/>
      <name val="Arial"/>
      <family val="2"/>
    </font>
    <font>
      <sz val="8.75"/>
      <color indexed="16"/>
      <name val="Arial"/>
      <family val="2"/>
    </font>
    <font>
      <sz val="10.75"/>
      <color indexed="16"/>
      <name val="Arial"/>
      <family val="2"/>
    </font>
    <font>
      <sz val="8.2"/>
      <color indexed="16"/>
      <name val="Arial"/>
      <family val="2"/>
    </font>
    <font>
      <sz val="8"/>
      <color indexed="8"/>
      <name val="Arial"/>
      <family val="2"/>
    </font>
    <font>
      <sz val="16"/>
      <color indexed="16"/>
      <name val="Arial"/>
      <family val="2"/>
    </font>
    <font>
      <sz val="10"/>
      <color indexed="16"/>
      <name val="Arial"/>
      <family val="2"/>
    </font>
    <font>
      <sz val="9.2"/>
      <color indexed="16"/>
      <name val="Arial"/>
      <family val="2"/>
    </font>
    <font>
      <sz val="12"/>
      <color indexed="25"/>
      <name val="Arial"/>
      <family val="2"/>
    </font>
    <font>
      <sz val="9"/>
      <color indexed="25"/>
      <name val="Arial"/>
      <family val="2"/>
    </font>
    <font>
      <sz val="11"/>
      <color indexed="25"/>
      <name val="Arial"/>
      <family val="2"/>
    </font>
    <font>
      <sz val="11"/>
      <color indexed="8"/>
      <name val="Arial"/>
      <family val="2"/>
    </font>
    <font>
      <sz val="11"/>
      <color indexed="16"/>
      <name val="Arial"/>
      <family val="2"/>
    </font>
    <font>
      <sz val="10.8"/>
      <color indexed="16"/>
      <name val="Arial"/>
      <family val="2"/>
    </font>
    <font>
      <sz val="8"/>
      <color indexed="25"/>
      <name val="Arial"/>
      <family val="2"/>
    </font>
    <font>
      <sz val="15.75"/>
      <color indexed="16"/>
      <name val="Arial"/>
      <family val="2"/>
    </font>
    <font>
      <sz val="1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85" fontId="26" fillId="35" borderId="18" xfId="0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178" fontId="26" fillId="35" borderId="0" xfId="0" applyNumberFormat="1" applyFont="1" applyFill="1" applyBorder="1" applyAlignment="1">
      <alignment/>
    </xf>
    <xf numFmtId="185" fontId="27" fillId="35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35" borderId="0" xfId="0" applyNumberFormat="1" applyFont="1" applyFill="1" applyBorder="1" applyAlignment="1">
      <alignment horizontal="left"/>
    </xf>
    <xf numFmtId="185" fontId="26" fillId="35" borderId="0" xfId="0" applyNumberFormat="1" applyFont="1" applyFill="1" applyBorder="1" applyAlignment="1">
      <alignment horizontal="left" indent="2"/>
    </xf>
    <xf numFmtId="185" fontId="4" fillId="35" borderId="0" xfId="0" applyNumberFormat="1" applyFont="1" applyFill="1" applyBorder="1" applyAlignment="1">
      <alignment horizontal="left" indent="2"/>
    </xf>
    <xf numFmtId="195" fontId="10" fillId="35" borderId="20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0" fontId="37" fillId="0" borderId="16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8" fillId="34" borderId="16" xfId="0" applyFont="1" applyFill="1" applyBorder="1" applyAlignment="1">
      <alignment/>
    </xf>
    <xf numFmtId="0" fontId="36" fillId="0" borderId="16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16" xfId="0" applyNumberFormat="1" applyFont="1" applyBorder="1" applyAlignment="1">
      <alignment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3" xfId="0" applyFont="1" applyBorder="1" applyAlignment="1">
      <alignment/>
    </xf>
    <xf numFmtId="0" fontId="36" fillId="34" borderId="23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3" xfId="0" applyFont="1" applyFill="1" applyBorder="1" applyAlignment="1">
      <alignment/>
    </xf>
    <xf numFmtId="0" fontId="36" fillId="35" borderId="23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85" fontId="38" fillId="35" borderId="15" xfId="0" applyNumberFormat="1" applyFont="1" applyFill="1" applyBorder="1" applyAlignment="1">
      <alignment horizontal="center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right"/>
    </xf>
    <xf numFmtId="178" fontId="38" fillId="35" borderId="23" xfId="0" applyNumberFormat="1" applyFont="1" applyFill="1" applyBorder="1" applyAlignment="1">
      <alignment/>
    </xf>
    <xf numFmtId="178" fontId="38" fillId="35" borderId="23" xfId="0" applyNumberFormat="1" applyFont="1" applyFill="1" applyBorder="1" applyAlignment="1">
      <alignment horizontal="right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center"/>
    </xf>
    <xf numFmtId="178" fontId="38" fillId="35" borderId="23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2" fontId="38" fillId="35" borderId="15" xfId="0" applyNumberFormat="1" applyFont="1" applyFill="1" applyBorder="1" applyAlignment="1">
      <alignment/>
    </xf>
    <xf numFmtId="182" fontId="38" fillId="35" borderId="15" xfId="0" applyNumberFormat="1" applyFont="1" applyFill="1" applyBorder="1" applyAlignment="1">
      <alignment horizontal="center"/>
    </xf>
    <xf numFmtId="182" fontId="38" fillId="35" borderId="15" xfId="0" applyNumberFormat="1" applyFont="1" applyFill="1" applyBorder="1" applyAlignment="1">
      <alignment horizontal="right"/>
    </xf>
    <xf numFmtId="182" fontId="38" fillId="35" borderId="23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1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8" fillId="34" borderId="21" xfId="0" applyFont="1" applyFill="1" applyBorder="1" applyAlignment="1">
      <alignment/>
    </xf>
    <xf numFmtId="0" fontId="36" fillId="0" borderId="21" xfId="0" applyFont="1" applyBorder="1" applyAlignment="1">
      <alignment/>
    </xf>
    <xf numFmtId="0" fontId="36" fillId="0" borderId="24" xfId="0" applyFont="1" applyBorder="1" applyAlignment="1">
      <alignment/>
    </xf>
    <xf numFmtId="0" fontId="36" fillId="34" borderId="24" xfId="0" applyFont="1" applyFill="1" applyBorder="1" applyAlignment="1">
      <alignment/>
    </xf>
    <xf numFmtId="2" fontId="36" fillId="0" borderId="21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3" xfId="0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26" xfId="64" applyFont="1" applyFill="1" applyBorder="1">
      <alignment/>
      <protection/>
    </xf>
    <xf numFmtId="0" fontId="43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85" fontId="4" fillId="0" borderId="27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18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/>
    </xf>
    <xf numFmtId="185" fontId="4" fillId="36" borderId="18" xfId="0" applyNumberFormat="1" applyFont="1" applyFill="1" applyBorder="1" applyAlignment="1">
      <alignment/>
    </xf>
    <xf numFmtId="185" fontId="26" fillId="35" borderId="26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2" fontId="9" fillId="0" borderId="0" xfId="42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85" fontId="9" fillId="35" borderId="21" xfId="0" applyNumberFormat="1" applyFont="1" applyFill="1" applyBorder="1" applyAlignment="1">
      <alignment/>
    </xf>
    <xf numFmtId="185" fontId="9" fillId="35" borderId="16" xfId="0" applyNumberFormat="1" applyFont="1" applyFill="1" applyBorder="1" applyAlignment="1">
      <alignment/>
    </xf>
    <xf numFmtId="2" fontId="9" fillId="35" borderId="21" xfId="0" applyNumberFormat="1" applyFont="1" applyFill="1" applyBorder="1" applyAlignment="1">
      <alignment/>
    </xf>
    <xf numFmtId="17" fontId="13" fillId="33" borderId="26" xfId="0" applyNumberFormat="1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26" fillId="35" borderId="30" xfId="64" applyFont="1" applyFill="1" applyBorder="1">
      <alignment/>
      <protection/>
    </xf>
    <xf numFmtId="178" fontId="26" fillId="35" borderId="29" xfId="0" applyNumberFormat="1" applyFont="1" applyFill="1" applyBorder="1" applyAlignment="1">
      <alignment/>
    </xf>
    <xf numFmtId="0" fontId="27" fillId="35" borderId="30" xfId="64" applyFont="1" applyFill="1" applyBorder="1" applyAlignment="1">
      <alignment horizontal="left" indent="1"/>
      <protection/>
    </xf>
    <xf numFmtId="178" fontId="4" fillId="35" borderId="29" xfId="0" applyNumberFormat="1" applyFont="1" applyFill="1" applyBorder="1" applyAlignment="1">
      <alignment/>
    </xf>
    <xf numFmtId="0" fontId="26" fillId="35" borderId="30" xfId="64" applyFont="1" applyFill="1" applyBorder="1" applyAlignment="1">
      <alignment horizontal="left"/>
      <protection/>
    </xf>
    <xf numFmtId="185" fontId="27" fillId="35" borderId="30" xfId="64" applyNumberFormat="1" applyFont="1" applyFill="1" applyBorder="1" applyAlignment="1">
      <alignment horizontal="left" indent="1"/>
      <protection/>
    </xf>
    <xf numFmtId="185" fontId="4" fillId="35" borderId="30" xfId="64" applyNumberFormat="1" applyFont="1" applyFill="1" applyBorder="1">
      <alignment/>
      <protection/>
    </xf>
    <xf numFmtId="185" fontId="26" fillId="35" borderId="31" xfId="64" applyNumberFormat="1" applyFont="1" applyFill="1" applyBorder="1">
      <alignment/>
      <protection/>
    </xf>
    <xf numFmtId="178" fontId="26" fillId="35" borderId="32" xfId="0" applyNumberFormat="1" applyFont="1" applyFill="1" applyBorder="1" applyAlignment="1">
      <alignment/>
    </xf>
    <xf numFmtId="0" fontId="0" fillId="0" borderId="30" xfId="0" applyBorder="1" applyAlignment="1">
      <alignment/>
    </xf>
    <xf numFmtId="185" fontId="27" fillId="35" borderId="31" xfId="0" applyNumberFormat="1" applyFont="1" applyFill="1" applyBorder="1" applyAlignment="1">
      <alignment horizontal="left" indent="1"/>
    </xf>
    <xf numFmtId="185" fontId="26" fillId="35" borderId="26" xfId="64" applyNumberFormat="1" applyFont="1" applyFill="1" applyBorder="1">
      <alignment/>
      <protection/>
    </xf>
    <xf numFmtId="185" fontId="26" fillId="35" borderId="32" xfId="0" applyNumberFormat="1" applyFont="1" applyFill="1" applyBorder="1" applyAlignment="1">
      <alignment/>
    </xf>
    <xf numFmtId="185" fontId="26" fillId="34" borderId="30" xfId="0" applyNumberFormat="1" applyFont="1" applyFill="1" applyBorder="1" applyAlignment="1">
      <alignment/>
    </xf>
    <xf numFmtId="0" fontId="0" fillId="34" borderId="30" xfId="0" applyFill="1" applyBorder="1" applyAlignment="1">
      <alignment/>
    </xf>
    <xf numFmtId="0" fontId="26" fillId="35" borderId="30" xfId="0" applyFont="1" applyFill="1" applyBorder="1" applyAlignment="1">
      <alignment/>
    </xf>
    <xf numFmtId="0" fontId="27" fillId="35" borderId="30" xfId="0" applyFont="1" applyFill="1" applyBorder="1" applyAlignment="1">
      <alignment horizontal="left" indent="1"/>
    </xf>
    <xf numFmtId="0" fontId="27" fillId="37" borderId="30" xfId="0" applyFont="1" applyFill="1" applyBorder="1" applyAlignment="1">
      <alignment horizontal="left" indent="2"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185" fontId="4" fillId="35" borderId="26" xfId="0" applyNumberFormat="1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36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85" fontId="26" fillId="35" borderId="23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185" fontId="4" fillId="35" borderId="23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85" fontId="26" fillId="35" borderId="24" xfId="0" applyNumberFormat="1" applyFont="1" applyFill="1" applyBorder="1" applyAlignment="1">
      <alignment/>
    </xf>
    <xf numFmtId="0" fontId="15" fillId="35" borderId="37" xfId="0" applyFont="1" applyFill="1" applyBorder="1" applyAlignment="1">
      <alignment/>
    </xf>
    <xf numFmtId="185" fontId="15" fillId="35" borderId="36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185" fontId="4" fillId="35" borderId="18" xfId="0" applyNumberFormat="1" applyFont="1" applyFill="1" applyBorder="1" applyAlignment="1">
      <alignment/>
    </xf>
    <xf numFmtId="185" fontId="4" fillId="35" borderId="24" xfId="0" applyNumberFormat="1" applyFont="1" applyFill="1" applyBorder="1" applyAlignment="1">
      <alignment/>
    </xf>
    <xf numFmtId="0" fontId="4" fillId="36" borderId="37" xfId="0" applyFont="1" applyFill="1" applyBorder="1" applyAlignment="1">
      <alignment/>
    </xf>
    <xf numFmtId="0" fontId="4" fillId="36" borderId="36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185" fontId="26" fillId="36" borderId="23" xfId="0" applyNumberFormat="1" applyFont="1" applyFill="1" applyBorder="1" applyAlignment="1">
      <alignment/>
    </xf>
    <xf numFmtId="0" fontId="27" fillId="37" borderId="11" xfId="0" applyFont="1" applyFill="1" applyBorder="1" applyAlignment="1">
      <alignment horizontal="left" indent="2"/>
    </xf>
    <xf numFmtId="185" fontId="4" fillId="36" borderId="23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85" fontId="4" fillId="36" borderId="24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2" fontId="4" fillId="35" borderId="0" xfId="42" applyNumberFormat="1" applyFont="1" applyFill="1" applyBorder="1" applyAlignment="1">
      <alignment horizontal="right"/>
    </xf>
    <xf numFmtId="0" fontId="39" fillId="33" borderId="15" xfId="0" applyFont="1" applyFill="1" applyBorder="1" applyAlignment="1">
      <alignment horizontal="center"/>
    </xf>
    <xf numFmtId="17" fontId="39" fillId="33" borderId="15" xfId="0" applyNumberFormat="1" applyFont="1" applyFill="1" applyBorder="1" applyAlignment="1">
      <alignment horizontal="center"/>
    </xf>
    <xf numFmtId="17" fontId="39" fillId="33" borderId="23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185" fontId="27" fillId="35" borderId="0" xfId="0" applyNumberFormat="1" applyFont="1" applyFill="1" applyBorder="1" applyAlignment="1">
      <alignment horizontal="left"/>
    </xf>
    <xf numFmtId="46" fontId="13" fillId="33" borderId="38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45" xfId="0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20" fillId="33" borderId="47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202" fontId="4" fillId="35" borderId="0" xfId="42" applyNumberFormat="1" applyFont="1" applyFill="1" applyBorder="1" applyAlignment="1">
      <alignment/>
    </xf>
    <xf numFmtId="202" fontId="4" fillId="36" borderId="0" xfId="42" applyNumberFormat="1" applyFont="1" applyFill="1" applyBorder="1" applyAlignment="1">
      <alignment/>
    </xf>
    <xf numFmtId="178" fontId="4" fillId="35" borderId="18" xfId="0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5275"/>
          <c:w val="0.9462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Chart'!$AR$7:$BD$7</c:f>
              <c:numCache>
                <c:ptCount val="13"/>
                <c:pt idx="0">
                  <c:v>38929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39172</c:v>
                </c:pt>
                <c:pt idx="9">
                  <c:v>39202</c:v>
                </c:pt>
                <c:pt idx="10">
                  <c:v>39233</c:v>
                </c:pt>
                <c:pt idx="11">
                  <c:v>39263</c:v>
                </c:pt>
                <c:pt idx="12">
                  <c:v>39294</c:v>
                </c:pt>
              </c:numCache>
            </c:numRef>
          </c:cat>
          <c:val>
            <c:numRef>
              <c:f>'[2]M1 M2 Chart'!$AR$8:$BD$8</c:f>
              <c:numCache>
                <c:ptCount val="13"/>
                <c:pt idx="0">
                  <c:v>2.064092169580869</c:v>
                </c:pt>
                <c:pt idx="1">
                  <c:v>-1.6380485020217113</c:v>
                </c:pt>
                <c:pt idx="2">
                  <c:v>4.277929218815961</c:v>
                </c:pt>
                <c:pt idx="3">
                  <c:v>3.375699863912038</c:v>
                </c:pt>
                <c:pt idx="4">
                  <c:v>1.7061921582027462</c:v>
                </c:pt>
                <c:pt idx="5">
                  <c:v>-0.34170916060395856</c:v>
                </c:pt>
                <c:pt idx="6">
                  <c:v>3.1247813249456087</c:v>
                </c:pt>
                <c:pt idx="7">
                  <c:v>-0.8175012350289527</c:v>
                </c:pt>
                <c:pt idx="8">
                  <c:v>-2.0163592435092164</c:v>
                </c:pt>
                <c:pt idx="9">
                  <c:v>2.124264004786151</c:v>
                </c:pt>
                <c:pt idx="10">
                  <c:v>1.8639134323938458</c:v>
                </c:pt>
                <c:pt idx="11">
                  <c:v>-4.265278640754327</c:v>
                </c:pt>
                <c:pt idx="12">
                  <c:v>10.478186527242048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Chart'!$AR$7:$BD$7</c:f>
              <c:numCache>
                <c:ptCount val="13"/>
                <c:pt idx="0">
                  <c:v>38929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39172</c:v>
                </c:pt>
                <c:pt idx="9">
                  <c:v>39202</c:v>
                </c:pt>
                <c:pt idx="10">
                  <c:v>39233</c:v>
                </c:pt>
                <c:pt idx="11">
                  <c:v>39263</c:v>
                </c:pt>
                <c:pt idx="12">
                  <c:v>39294</c:v>
                </c:pt>
              </c:numCache>
            </c:numRef>
          </c:cat>
          <c:val>
            <c:numRef>
              <c:f>'[2]M1 M2 Chart'!$AR$9:$BD$9</c:f>
              <c:numCache>
                <c:ptCount val="13"/>
                <c:pt idx="0">
                  <c:v>3.1219530629032963</c:v>
                </c:pt>
                <c:pt idx="1">
                  <c:v>-1.2778560719822774</c:v>
                </c:pt>
                <c:pt idx="2">
                  <c:v>4.381616536762638</c:v>
                </c:pt>
                <c:pt idx="3">
                  <c:v>11.541825685977763</c:v>
                </c:pt>
                <c:pt idx="4">
                  <c:v>-0.570174384078555</c:v>
                </c:pt>
                <c:pt idx="5">
                  <c:v>-3.8684085489309523</c:v>
                </c:pt>
                <c:pt idx="6">
                  <c:v>6.0581762262908185</c:v>
                </c:pt>
                <c:pt idx="7">
                  <c:v>0.8055996711286546</c:v>
                </c:pt>
                <c:pt idx="8">
                  <c:v>1.2216558177303205</c:v>
                </c:pt>
                <c:pt idx="9">
                  <c:v>0.2938067770753827</c:v>
                </c:pt>
                <c:pt idx="10">
                  <c:v>0.41015757279167386</c:v>
                </c:pt>
                <c:pt idx="11">
                  <c:v>-10.514576369690575</c:v>
                </c:pt>
                <c:pt idx="12">
                  <c:v>17.23661372104195</c:v>
                </c:pt>
              </c:numCache>
            </c:numRef>
          </c:val>
          <c:smooth val="0"/>
        </c:ser>
        <c:marker val="1"/>
        <c:axId val="6354124"/>
        <c:axId val="57187117"/>
      </c:lineChart>
      <c:catAx>
        <c:axId val="63541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6354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"/>
          <c:y val="0.897"/>
          <c:w val="0.500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1"/>
          <c:w val="0.946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chart'!$AQ$10:$BC$10</c:f>
              <c:numCache>
                <c:ptCount val="13"/>
                <c:pt idx="0">
                  <c:v>38929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39172</c:v>
                </c:pt>
                <c:pt idx="9">
                  <c:v>39202</c:v>
                </c:pt>
                <c:pt idx="10">
                  <c:v>39233</c:v>
                </c:pt>
                <c:pt idx="11">
                  <c:v>39263</c:v>
                </c:pt>
                <c:pt idx="12">
                  <c:v>39294</c:v>
                </c:pt>
              </c:numCache>
            </c:numRef>
          </c:cat>
          <c:val>
            <c:numRef>
              <c:f>'[2] PSC chart'!$AQ$11:$BC$11</c:f>
              <c:numCache>
                <c:ptCount val="13"/>
                <c:pt idx="0">
                  <c:v>-1.7217054446794489</c:v>
                </c:pt>
                <c:pt idx="1">
                  <c:v>2.56009021400702</c:v>
                </c:pt>
                <c:pt idx="2">
                  <c:v>0.20969565247536456</c:v>
                </c:pt>
                <c:pt idx="3">
                  <c:v>-1.5314771320431253</c:v>
                </c:pt>
                <c:pt idx="4">
                  <c:v>2.9984069201778913</c:v>
                </c:pt>
                <c:pt idx="5">
                  <c:v>0.2131848422549674</c:v>
                </c:pt>
                <c:pt idx="6">
                  <c:v>-6.01361231956756</c:v>
                </c:pt>
                <c:pt idx="7">
                  <c:v>3.468989134525586</c:v>
                </c:pt>
                <c:pt idx="8">
                  <c:v>-1.1060404066356289</c:v>
                </c:pt>
                <c:pt idx="9">
                  <c:v>-2.5080256273845984</c:v>
                </c:pt>
                <c:pt idx="10">
                  <c:v>3.6996475995276263</c:v>
                </c:pt>
                <c:pt idx="11">
                  <c:v>0.6628882707765882</c:v>
                </c:pt>
                <c:pt idx="12">
                  <c:v>1.3635344568103014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chart'!$AQ$10:$BC$10</c:f>
              <c:numCache>
                <c:ptCount val="13"/>
                <c:pt idx="0">
                  <c:v>38929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39172</c:v>
                </c:pt>
                <c:pt idx="9">
                  <c:v>39202</c:v>
                </c:pt>
                <c:pt idx="10">
                  <c:v>39233</c:v>
                </c:pt>
                <c:pt idx="11">
                  <c:v>39263</c:v>
                </c:pt>
                <c:pt idx="12">
                  <c:v>39294</c:v>
                </c:pt>
              </c:numCache>
            </c:numRef>
          </c:cat>
          <c:val>
            <c:numRef>
              <c:f>'[2] PSC chart'!$AQ$12:$BC$12</c:f>
              <c:numCache>
                <c:ptCount val="13"/>
                <c:pt idx="0">
                  <c:v>2.723141408263861</c:v>
                </c:pt>
                <c:pt idx="1">
                  <c:v>0.25593587875896684</c:v>
                </c:pt>
                <c:pt idx="2">
                  <c:v>0.057520487008683195</c:v>
                </c:pt>
                <c:pt idx="3">
                  <c:v>1.4821953880777343</c:v>
                </c:pt>
                <c:pt idx="4">
                  <c:v>0.15550027153967988</c:v>
                </c:pt>
                <c:pt idx="5">
                  <c:v>0.6583832117324644</c:v>
                </c:pt>
                <c:pt idx="6">
                  <c:v>2.5491633077906704</c:v>
                </c:pt>
                <c:pt idx="7">
                  <c:v>1.43400578490035</c:v>
                </c:pt>
                <c:pt idx="8">
                  <c:v>0.775029504938087</c:v>
                </c:pt>
                <c:pt idx="9">
                  <c:v>0.4128579839358425</c:v>
                </c:pt>
                <c:pt idx="10">
                  <c:v>0.13441753430499181</c:v>
                </c:pt>
                <c:pt idx="11">
                  <c:v>1.6600517682014835</c:v>
                </c:pt>
                <c:pt idx="12">
                  <c:v>0.4982491808369909</c:v>
                </c:pt>
              </c:numCache>
            </c:numRef>
          </c:val>
          <c:smooth val="0"/>
        </c:ser>
        <c:marker val="1"/>
        <c:axId val="44922006"/>
        <c:axId val="1644871"/>
      </c:lineChart>
      <c:catAx>
        <c:axId val="449220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44922006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5"/>
          <c:y val="0.89025"/>
          <c:w val="0.417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225"/>
          <c:w val="0.9265"/>
          <c:h val="0.794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'[4]Data'!$D$195:$D$207</c:f>
              <c:numCache>
                <c:ptCount val="13"/>
                <c:pt idx="0">
                  <c:v>38900</c:v>
                </c:pt>
                <c:pt idx="1">
                  <c:v>38931</c:v>
                </c:pt>
                <c:pt idx="2">
                  <c:v>38962</c:v>
                </c:pt>
                <c:pt idx="3">
                  <c:v>38992</c:v>
                </c:pt>
                <c:pt idx="4">
                  <c:v>39023</c:v>
                </c:pt>
                <c:pt idx="5">
                  <c:v>39053</c:v>
                </c:pt>
                <c:pt idx="6">
                  <c:v>39084</c:v>
                </c:pt>
                <c:pt idx="7">
                  <c:v>39115</c:v>
                </c:pt>
                <c:pt idx="8">
                  <c:v>39143</c:v>
                </c:pt>
                <c:pt idx="9">
                  <c:v>39174</c:v>
                </c:pt>
                <c:pt idx="10">
                  <c:v>39204</c:v>
                </c:pt>
                <c:pt idx="11">
                  <c:v>39235</c:v>
                </c:pt>
                <c:pt idx="12">
                  <c:v>39265</c:v>
                </c:pt>
              </c:numCache>
            </c:numRef>
          </c:cat>
          <c:val>
            <c:numRef>
              <c:f>'[4]Data'!$F$195:$F$207</c:f>
              <c:numCache>
                <c:ptCount val="13"/>
                <c:pt idx="0">
                  <c:v>7.5</c:v>
                </c:pt>
                <c:pt idx="1">
                  <c:v>8</c:v>
                </c:pt>
                <c:pt idx="2">
                  <c:v>8</c:v>
                </c:pt>
                <c:pt idx="3">
                  <c:v>8.5</c:v>
                </c:pt>
                <c:pt idx="4">
                  <c:v>8.5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9.5</c:v>
                </c:pt>
                <c:pt idx="12">
                  <c:v>9.5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'[4]Data'!$D$195:$D$207</c:f>
              <c:numCache>
                <c:ptCount val="13"/>
                <c:pt idx="0">
                  <c:v>38900</c:v>
                </c:pt>
                <c:pt idx="1">
                  <c:v>38931</c:v>
                </c:pt>
                <c:pt idx="2">
                  <c:v>38962</c:v>
                </c:pt>
                <c:pt idx="3">
                  <c:v>38992</c:v>
                </c:pt>
                <c:pt idx="4">
                  <c:v>39023</c:v>
                </c:pt>
                <c:pt idx="5">
                  <c:v>39053</c:v>
                </c:pt>
                <c:pt idx="6">
                  <c:v>39084</c:v>
                </c:pt>
                <c:pt idx="7">
                  <c:v>39115</c:v>
                </c:pt>
                <c:pt idx="8">
                  <c:v>39143</c:v>
                </c:pt>
                <c:pt idx="9">
                  <c:v>39174</c:v>
                </c:pt>
                <c:pt idx="10">
                  <c:v>39204</c:v>
                </c:pt>
                <c:pt idx="11">
                  <c:v>39235</c:v>
                </c:pt>
                <c:pt idx="12">
                  <c:v>39265</c:v>
                </c:pt>
              </c:numCache>
            </c:numRef>
          </c:cat>
          <c:val>
            <c:numRef>
              <c:f>'[4]Data'!$K$195:$K$207</c:f>
              <c:numCache>
                <c:ptCount val="13"/>
                <c:pt idx="0">
                  <c:v>6.18</c:v>
                </c:pt>
                <c:pt idx="1">
                  <c:v>6.34</c:v>
                </c:pt>
                <c:pt idx="2">
                  <c:v>6.22</c:v>
                </c:pt>
                <c:pt idx="3">
                  <c:v>6.37</c:v>
                </c:pt>
                <c:pt idx="4">
                  <c:v>6.64</c:v>
                </c:pt>
                <c:pt idx="5">
                  <c:v>6.85</c:v>
                </c:pt>
                <c:pt idx="6">
                  <c:v>6.98</c:v>
                </c:pt>
                <c:pt idx="7">
                  <c:v>7.38</c:v>
                </c:pt>
                <c:pt idx="8">
                  <c:v>7.22</c:v>
                </c:pt>
                <c:pt idx="9">
                  <c:v>7.18</c:v>
                </c:pt>
                <c:pt idx="10">
                  <c:v>7.34</c:v>
                </c:pt>
                <c:pt idx="11">
                  <c:v>7.24</c:v>
                </c:pt>
                <c:pt idx="12">
                  <c:v>7.49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'[4]Data'!$D$195:$D$207</c:f>
              <c:numCache>
                <c:ptCount val="13"/>
                <c:pt idx="0">
                  <c:v>38900</c:v>
                </c:pt>
                <c:pt idx="1">
                  <c:v>38931</c:v>
                </c:pt>
                <c:pt idx="2">
                  <c:v>38962</c:v>
                </c:pt>
                <c:pt idx="3">
                  <c:v>38992</c:v>
                </c:pt>
                <c:pt idx="4">
                  <c:v>39023</c:v>
                </c:pt>
                <c:pt idx="5">
                  <c:v>39053</c:v>
                </c:pt>
                <c:pt idx="6">
                  <c:v>39084</c:v>
                </c:pt>
                <c:pt idx="7">
                  <c:v>39115</c:v>
                </c:pt>
                <c:pt idx="8">
                  <c:v>39143</c:v>
                </c:pt>
                <c:pt idx="9">
                  <c:v>39174</c:v>
                </c:pt>
                <c:pt idx="10">
                  <c:v>39204</c:v>
                </c:pt>
                <c:pt idx="11">
                  <c:v>39235</c:v>
                </c:pt>
                <c:pt idx="12">
                  <c:v>39265</c:v>
                </c:pt>
              </c:numCache>
            </c:numRef>
          </c:cat>
          <c:val>
            <c:numRef>
              <c:f>'[4]Data'!$L$195:$L$207</c:f>
              <c:numCache>
                <c:ptCount val="13"/>
                <c:pt idx="0">
                  <c:v>10.93</c:v>
                </c:pt>
                <c:pt idx="1">
                  <c:v>11.01</c:v>
                </c:pt>
                <c:pt idx="2">
                  <c:v>11.71</c:v>
                </c:pt>
                <c:pt idx="3">
                  <c:v>11.97</c:v>
                </c:pt>
                <c:pt idx="4">
                  <c:v>12.2</c:v>
                </c:pt>
                <c:pt idx="5">
                  <c:v>12.43</c:v>
                </c:pt>
                <c:pt idx="6">
                  <c:v>12.63</c:v>
                </c:pt>
                <c:pt idx="7">
                  <c:v>12.32</c:v>
                </c:pt>
                <c:pt idx="8">
                  <c:v>11.9</c:v>
                </c:pt>
                <c:pt idx="9">
                  <c:v>12.44</c:v>
                </c:pt>
                <c:pt idx="10">
                  <c:v>12.65</c:v>
                </c:pt>
                <c:pt idx="11">
                  <c:v>12.22</c:v>
                </c:pt>
                <c:pt idx="12">
                  <c:v>13.03</c:v>
                </c:pt>
              </c:numCache>
            </c:numRef>
          </c:val>
          <c:smooth val="0"/>
        </c:ser>
        <c:marker val="1"/>
        <c:axId val="14803840"/>
        <c:axId val="66125697"/>
      </c:lineChart>
      <c:catAx>
        <c:axId val="1480384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66125697"/>
        <c:crossesAt val="0"/>
        <c:auto val="1"/>
        <c:lblOffset val="100"/>
        <c:tickLblSkip val="1"/>
        <c:noMultiLvlLbl val="0"/>
      </c:catAx>
      <c:valAx>
        <c:axId val="66125697"/>
        <c:scaling>
          <c:orientation val="minMax"/>
          <c:max val="1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-0.016"/>
              <c:y val="-0.016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00"/>
                </a:solidFill>
              </a:defRPr>
            </a:pPr>
          </a:p>
        </c:txPr>
        <c:crossAx val="14803840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8705"/>
          <c:w val="0.592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7025"/>
          <c:w val="0.9245"/>
          <c:h val="0.8397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indices'!$B$129:$B$141</c:f>
              <c:numCache>
                <c:ptCount val="13"/>
                <c:pt idx="0">
                  <c:v>38899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39172</c:v>
                </c:pt>
                <c:pt idx="9">
                  <c:v>39202</c:v>
                </c:pt>
                <c:pt idx="10">
                  <c:v>39233</c:v>
                </c:pt>
                <c:pt idx="11">
                  <c:v>39263</c:v>
                </c:pt>
                <c:pt idx="12">
                  <c:v>39294</c:v>
                </c:pt>
              </c:numCache>
            </c:numRef>
          </c:cat>
          <c:val>
            <c:numRef>
              <c:f>'[5]Monthly indices'!$C$129:$C$141</c:f>
              <c:numCache>
                <c:ptCount val="13"/>
                <c:pt idx="0">
                  <c:v>688.72</c:v>
                </c:pt>
                <c:pt idx="1">
                  <c:v>727.36</c:v>
                </c:pt>
                <c:pt idx="2">
                  <c:v>754.36</c:v>
                </c:pt>
                <c:pt idx="3">
                  <c:v>790.35</c:v>
                </c:pt>
                <c:pt idx="4">
                  <c:v>792.6</c:v>
                </c:pt>
                <c:pt idx="5">
                  <c:v>828</c:v>
                </c:pt>
                <c:pt idx="6">
                  <c:v>838.25</c:v>
                </c:pt>
                <c:pt idx="7">
                  <c:v>852.78</c:v>
                </c:pt>
                <c:pt idx="8">
                  <c:v>911.26</c:v>
                </c:pt>
                <c:pt idx="9">
                  <c:v>935</c:v>
                </c:pt>
                <c:pt idx="10">
                  <c:v>977</c:v>
                </c:pt>
                <c:pt idx="11">
                  <c:v>936</c:v>
                </c:pt>
                <c:pt idx="12">
                  <c:v>936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8260362"/>
        <c:axId val="54581211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indices'!$B$129:$B$141</c:f>
              <c:numCache>
                <c:ptCount val="13"/>
                <c:pt idx="0">
                  <c:v>38899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39172</c:v>
                </c:pt>
                <c:pt idx="9">
                  <c:v>39202</c:v>
                </c:pt>
                <c:pt idx="10">
                  <c:v>39233</c:v>
                </c:pt>
                <c:pt idx="11">
                  <c:v>39263</c:v>
                </c:pt>
                <c:pt idx="12">
                  <c:v>39294</c:v>
                </c:pt>
              </c:numCache>
            </c:numRef>
          </c:cat>
          <c:val>
            <c:numRef>
              <c:f>'[5]Monthly indices'!$D$129:$D$141</c:f>
              <c:numCache>
                <c:ptCount val="13"/>
                <c:pt idx="0">
                  <c:v>83.73</c:v>
                </c:pt>
                <c:pt idx="1">
                  <c:v>82.05</c:v>
                </c:pt>
                <c:pt idx="2">
                  <c:v>82.05</c:v>
                </c:pt>
                <c:pt idx="3">
                  <c:v>86.01</c:v>
                </c:pt>
                <c:pt idx="4">
                  <c:v>88.1</c:v>
                </c:pt>
                <c:pt idx="5">
                  <c:v>91</c:v>
                </c:pt>
                <c:pt idx="6">
                  <c:v>92.2</c:v>
                </c:pt>
                <c:pt idx="7">
                  <c:v>94.25</c:v>
                </c:pt>
                <c:pt idx="8">
                  <c:v>101.61</c:v>
                </c:pt>
                <c:pt idx="9">
                  <c:v>101.61</c:v>
                </c:pt>
                <c:pt idx="10">
                  <c:v>104</c:v>
                </c:pt>
                <c:pt idx="11">
                  <c:v>105</c:v>
                </c:pt>
                <c:pt idx="12">
                  <c:v>108</c:v>
                </c:pt>
              </c:numCache>
            </c:numRef>
          </c:val>
          <c:smooth val="0"/>
        </c:ser>
        <c:marker val="1"/>
        <c:axId val="21468852"/>
        <c:axId val="59001941"/>
      </c:lineChart>
      <c:catAx>
        <c:axId val="58260362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54581211"/>
        <c:crosses val="autoZero"/>
        <c:auto val="1"/>
        <c:lblOffset val="100"/>
        <c:tickLblSkip val="1"/>
        <c:noMultiLvlLbl val="0"/>
      </c:catAx>
      <c:valAx>
        <c:axId val="54581211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8260362"/>
        <c:crossesAt val="1"/>
        <c:crossBetween val="between"/>
        <c:dispUnits/>
      </c:valAx>
      <c:catAx>
        <c:axId val="21468852"/>
        <c:scaling>
          <c:orientation val="minMax"/>
        </c:scaling>
        <c:axPos val="b"/>
        <c:delete val="1"/>
        <c:majorTickMark val="out"/>
        <c:minorTickMark val="none"/>
        <c:tickLblPos val="nextTo"/>
        <c:crossAx val="59001941"/>
        <c:crosses val="autoZero"/>
        <c:auto val="1"/>
        <c:lblOffset val="100"/>
        <c:tickLblSkip val="1"/>
        <c:noMultiLvlLbl val="0"/>
      </c:catAx>
      <c:valAx>
        <c:axId val="5900194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214688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5"/>
          <c:y val="0.91275"/>
          <c:w val="0.541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42"/>
          <c:w val="0.9162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'[3]Inflation CPIX -NCPI'!$B$23:$B$35</c:f>
              <c:numCache>
                <c:ptCount val="13"/>
                <c:pt idx="0">
                  <c:v>38929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39142</c:v>
                </c:pt>
                <c:pt idx="9">
                  <c:v>39174</c:v>
                </c:pt>
                <c:pt idx="10">
                  <c:v>39205</c:v>
                </c:pt>
                <c:pt idx="11">
                  <c:v>39237</c:v>
                </c:pt>
                <c:pt idx="12">
                  <c:v>39268</c:v>
                </c:pt>
              </c:numCache>
            </c:numRef>
          </c:cat>
          <c:val>
            <c:numRef>
              <c:f>'[3]Inflation CPIX -NCPI'!$C$23:$C$35</c:f>
              <c:numCache>
                <c:ptCount val="13"/>
                <c:pt idx="0">
                  <c:v>4.9</c:v>
                </c:pt>
                <c:pt idx="1">
                  <c:v>5</c:v>
                </c:pt>
                <c:pt idx="2">
                  <c:v>5.1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5.3</c:v>
                </c:pt>
                <c:pt idx="7">
                  <c:v>4.9</c:v>
                </c:pt>
                <c:pt idx="8">
                  <c:v>5.5</c:v>
                </c:pt>
                <c:pt idx="9">
                  <c:v>6.3</c:v>
                </c:pt>
                <c:pt idx="10">
                  <c:v>6.4</c:v>
                </c:pt>
                <c:pt idx="11">
                  <c:v>6.4</c:v>
                </c:pt>
                <c:pt idx="12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'[3]Inflation CPIX -NCPI'!$B$23:$B$35</c:f>
              <c:numCache>
                <c:ptCount val="13"/>
                <c:pt idx="0">
                  <c:v>38929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39142</c:v>
                </c:pt>
                <c:pt idx="9">
                  <c:v>39174</c:v>
                </c:pt>
                <c:pt idx="10">
                  <c:v>39205</c:v>
                </c:pt>
                <c:pt idx="11">
                  <c:v>39237</c:v>
                </c:pt>
                <c:pt idx="12">
                  <c:v>39268</c:v>
                </c:pt>
              </c:numCache>
            </c:numRef>
          </c:cat>
          <c:val>
            <c:numRef>
              <c:f>'[3]Inflation CPIX -NCPI'!$D$23:$D$35</c:f>
              <c:numCache>
                <c:ptCount val="13"/>
                <c:pt idx="0">
                  <c:v>5.1</c:v>
                </c:pt>
                <c:pt idx="1">
                  <c:v>5.4</c:v>
                </c:pt>
                <c:pt idx="2">
                  <c:v>5.5</c:v>
                </c:pt>
                <c:pt idx="3">
                  <c:v>5.8</c:v>
                </c:pt>
                <c:pt idx="4">
                  <c:v>6.1</c:v>
                </c:pt>
                <c:pt idx="5">
                  <c:v>6.1</c:v>
                </c:pt>
                <c:pt idx="6">
                  <c:v>6</c:v>
                </c:pt>
                <c:pt idx="7">
                  <c:v>6</c:v>
                </c:pt>
                <c:pt idx="8">
                  <c:v>6.3</c:v>
                </c:pt>
                <c:pt idx="9">
                  <c:v>6.9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</c:numCache>
            </c:numRef>
          </c:val>
          <c:smooth val="0"/>
        </c:ser>
        <c:marker val="1"/>
        <c:axId val="61255422"/>
        <c:axId val="14427887"/>
      </c:lineChart>
      <c:catAx>
        <c:axId val="6125542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14427887"/>
        <c:crosses val="autoZero"/>
        <c:auto val="1"/>
        <c:lblOffset val="100"/>
        <c:tickLblSkip val="1"/>
        <c:noMultiLvlLbl val="0"/>
      </c:catAx>
      <c:valAx>
        <c:axId val="14427887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61255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975"/>
          <c:y val="0.90175"/>
          <c:w val="0.577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65"/>
          <c:w val="0.952"/>
          <c:h val="0.93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'S5'!$AR$4:$BD$4</c:f>
              <c:strCache>
                <c:ptCount val="13"/>
                <c:pt idx="0">
                  <c:v>38929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39172</c:v>
                </c:pt>
                <c:pt idx="9">
                  <c:v>39202</c:v>
                </c:pt>
                <c:pt idx="10">
                  <c:v>39233</c:v>
                </c:pt>
                <c:pt idx="11">
                  <c:v>39263</c:v>
                </c:pt>
                <c:pt idx="12">
                  <c:v>39294</c:v>
                </c:pt>
              </c:strCache>
            </c:strRef>
          </c:cat>
          <c:val>
            <c:numRef>
              <c:f>'S5'!$AR$13:$BD$13</c:f>
              <c:numCache>
                <c:ptCount val="13"/>
                <c:pt idx="0">
                  <c:v>0.14115720678119223</c:v>
                </c:pt>
                <c:pt idx="1">
                  <c:v>0.14377525052837403</c:v>
                </c:pt>
                <c:pt idx="2">
                  <c:v>0.1349564090798672</c:v>
                </c:pt>
                <c:pt idx="3">
                  <c:v>0.13073262563405322</c:v>
                </c:pt>
                <c:pt idx="4">
                  <c:v>0.1377676135893974</c:v>
                </c:pt>
                <c:pt idx="5">
                  <c:v>0.14203334943044627</c:v>
                </c:pt>
                <c:pt idx="6">
                  <c:v>0.13920209359948774</c:v>
                </c:pt>
                <c:pt idx="7">
                  <c:v>0.13947390443248067</c:v>
                </c:pt>
                <c:pt idx="8">
                  <c:v>0.13602851157602633</c:v>
                </c:pt>
                <c:pt idx="9">
                  <c:v>0.14041788362165805</c:v>
                </c:pt>
                <c:pt idx="10">
                  <c:v>0.14247652699217803</c:v>
                </c:pt>
                <c:pt idx="11">
                  <c:v>0.13943500934214562</c:v>
                </c:pt>
                <c:pt idx="12">
                  <c:v>0.1434102968593145</c:v>
                </c:pt>
              </c:numCache>
            </c:numRef>
          </c:val>
          <c:smooth val="0"/>
        </c:ser>
        <c:marker val="1"/>
        <c:axId val="62742120"/>
        <c:axId val="27808169"/>
      </c:lineChart>
      <c:dateAx>
        <c:axId val="62742120"/>
        <c:scaling>
          <c:orientation val="minMax"/>
          <c:max val="3926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27808169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808169"/>
        <c:scaling>
          <c:orientation val="minMax"/>
          <c:max val="0.15000000000000002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62742120"/>
        <c:crossesAt val="1"/>
        <c:crossBetween val="between"/>
        <c:dispUnits/>
        <c:majorUnit val="0.007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"/>
          <c:w val="0.903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chart'!$AS$2:$BE$2</c:f>
              <c:numCache>
                <c:ptCount val="13"/>
                <c:pt idx="0">
                  <c:v>38929</c:v>
                </c:pt>
                <c:pt idx="1">
                  <c:v>38960</c:v>
                </c:pt>
                <c:pt idx="2">
                  <c:v>38990</c:v>
                </c:pt>
                <c:pt idx="3">
                  <c:v>39021</c:v>
                </c:pt>
                <c:pt idx="4">
                  <c:v>39051</c:v>
                </c:pt>
                <c:pt idx="5">
                  <c:v>39082</c:v>
                </c:pt>
                <c:pt idx="6">
                  <c:v>39113</c:v>
                </c:pt>
                <c:pt idx="7">
                  <c:v>39141</c:v>
                </c:pt>
                <c:pt idx="8">
                  <c:v>39172</c:v>
                </c:pt>
                <c:pt idx="9">
                  <c:v>39202</c:v>
                </c:pt>
                <c:pt idx="10">
                  <c:v>39233</c:v>
                </c:pt>
                <c:pt idx="11">
                  <c:v>39263</c:v>
                </c:pt>
                <c:pt idx="12">
                  <c:v>39294</c:v>
                </c:pt>
              </c:numCache>
            </c:numRef>
          </c:cat>
          <c:val>
            <c:numRef>
              <c:f>'[2]Int reser chart'!$AS$3:$BE$3</c:f>
              <c:numCache>
                <c:ptCount val="13"/>
                <c:pt idx="0">
                  <c:v>3313.1347334800002</c:v>
                </c:pt>
                <c:pt idx="1">
                  <c:v>2760.7403289100002</c:v>
                </c:pt>
                <c:pt idx="2">
                  <c:v>3119.24184594</c:v>
                </c:pt>
                <c:pt idx="3">
                  <c:v>4104.408667917</c:v>
                </c:pt>
                <c:pt idx="4">
                  <c:v>3495.223781143</c:v>
                </c:pt>
                <c:pt idx="5">
                  <c:v>3164.29667116</c:v>
                </c:pt>
                <c:pt idx="6">
                  <c:v>4865.564786686</c:v>
                </c:pt>
                <c:pt idx="7">
                  <c:v>4466.368215629998</c:v>
                </c:pt>
                <c:pt idx="8">
                  <c:v>5690.014632319999</c:v>
                </c:pt>
                <c:pt idx="9">
                  <c:v>6260.11796704</c:v>
                </c:pt>
                <c:pt idx="10">
                  <c:v>5643.79369454</c:v>
                </c:pt>
                <c:pt idx="11">
                  <c:v>6085.291314379998</c:v>
                </c:pt>
                <c:pt idx="12">
                  <c:v>7455.908350520001</c:v>
                </c:pt>
              </c:numCache>
            </c:numRef>
          </c:val>
        </c:ser>
        <c:axId val="48946930"/>
        <c:axId val="37869187"/>
      </c:barChart>
      <c:catAx>
        <c:axId val="489469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million of  Namibia  Dollars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4894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13</xdr:col>
      <xdr:colOff>0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619125" y="542925"/>
        <a:ext cx="74295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76200</xdr:rowOff>
    </xdr:from>
    <xdr:to>
      <xdr:col>12</xdr:col>
      <xdr:colOff>571500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619125" y="5057775"/>
        <a:ext cx="73818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16</xdr:col>
      <xdr:colOff>438150</xdr:colOff>
      <xdr:row>24</xdr:row>
      <xdr:rowOff>9525</xdr:rowOff>
    </xdr:to>
    <xdr:graphicFrame>
      <xdr:nvGraphicFramePr>
        <xdr:cNvPr id="1" name="Chart 8"/>
        <xdr:cNvGraphicFramePr/>
      </xdr:nvGraphicFramePr>
      <xdr:xfrm>
        <a:off x="609600" y="752475"/>
        <a:ext cx="89725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16</xdr:col>
      <xdr:colOff>476250</xdr:colOff>
      <xdr:row>52</xdr:row>
      <xdr:rowOff>142875</xdr:rowOff>
    </xdr:to>
    <xdr:graphicFrame>
      <xdr:nvGraphicFramePr>
        <xdr:cNvPr id="2" name="Chart 5"/>
        <xdr:cNvGraphicFramePr/>
      </xdr:nvGraphicFramePr>
      <xdr:xfrm>
        <a:off x="609600" y="5753100"/>
        <a:ext cx="90106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16</xdr:col>
      <xdr:colOff>514350</xdr:colOff>
      <xdr:row>79</xdr:row>
      <xdr:rowOff>114300</xdr:rowOff>
    </xdr:to>
    <xdr:graphicFrame>
      <xdr:nvGraphicFramePr>
        <xdr:cNvPr id="3" name="Chart 1"/>
        <xdr:cNvGraphicFramePr/>
      </xdr:nvGraphicFramePr>
      <xdr:xfrm>
        <a:off x="609600" y="11296650"/>
        <a:ext cx="904875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40</xdr:row>
      <xdr:rowOff>85725</xdr:rowOff>
    </xdr:from>
    <xdr:to>
      <xdr:col>15</xdr:col>
      <xdr:colOff>295275</xdr:colOff>
      <xdr:row>69</xdr:row>
      <xdr:rowOff>28575</xdr:rowOff>
    </xdr:to>
    <xdr:graphicFrame>
      <xdr:nvGraphicFramePr>
        <xdr:cNvPr id="1" name="Chart 9"/>
        <xdr:cNvGraphicFramePr/>
      </xdr:nvGraphicFramePr>
      <xdr:xfrm>
        <a:off x="657225" y="6638925"/>
        <a:ext cx="87534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5</xdr:row>
      <xdr:rowOff>28575</xdr:rowOff>
    </xdr:from>
    <xdr:to>
      <xdr:col>15</xdr:col>
      <xdr:colOff>219075</xdr:colOff>
      <xdr:row>32</xdr:row>
      <xdr:rowOff>57150</xdr:rowOff>
    </xdr:to>
    <xdr:graphicFrame>
      <xdr:nvGraphicFramePr>
        <xdr:cNvPr id="2" name="Chart 1"/>
        <xdr:cNvGraphicFramePr/>
      </xdr:nvGraphicFramePr>
      <xdr:xfrm>
        <a:off x="504825" y="876300"/>
        <a:ext cx="88296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  <cell r="AZ7">
            <v>39172</v>
          </cell>
          <cell r="BA7">
            <v>39202</v>
          </cell>
          <cell r="BB7">
            <v>39233</v>
          </cell>
          <cell r="BC7">
            <v>39263</v>
          </cell>
          <cell r="BD7">
            <v>39294</v>
          </cell>
        </row>
        <row r="8"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  <cell r="AZ8">
            <v>-2.0163592435092164</v>
          </cell>
          <cell r="BA8">
            <v>2.124264004786151</v>
          </cell>
          <cell r="BB8">
            <v>1.8639134323938458</v>
          </cell>
          <cell r="BC8">
            <v>-4.265278640754327</v>
          </cell>
          <cell r="BD8">
            <v>10.478186527242048</v>
          </cell>
        </row>
        <row r="9"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  <cell r="AZ9">
            <v>1.2216558177303205</v>
          </cell>
          <cell r="BA9">
            <v>0.2938067770753827</v>
          </cell>
          <cell r="BB9">
            <v>0.41015757279167386</v>
          </cell>
          <cell r="BC9">
            <v>-10.514576369690575</v>
          </cell>
          <cell r="BD9">
            <v>17.23661372104195</v>
          </cell>
        </row>
      </sheetData>
      <sheetData sheetId="8">
        <row r="2"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</row>
        <row r="3"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</row>
      </sheetData>
      <sheetData sheetId="9">
        <row r="10"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  <cell r="AY10">
            <v>39172</v>
          </cell>
          <cell r="AZ10">
            <v>39202</v>
          </cell>
          <cell r="BA10">
            <v>39233</v>
          </cell>
          <cell r="BB10">
            <v>39263</v>
          </cell>
          <cell r="BC10">
            <v>39294</v>
          </cell>
        </row>
        <row r="11">
          <cell r="B11" t="str">
            <v>Dom claims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  <cell r="AY11">
            <v>-1.1060404066356289</v>
          </cell>
          <cell r="AZ11">
            <v>-2.5080256273845984</v>
          </cell>
          <cell r="BA11">
            <v>3.6996475995276263</v>
          </cell>
          <cell r="BB11">
            <v>0.6628882707765882</v>
          </cell>
          <cell r="BC11">
            <v>1.3635344568103014</v>
          </cell>
        </row>
        <row r="12">
          <cell r="B12" t="str">
            <v>Other Sectors Claims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  <cell r="AY12">
            <v>0.775029504938087</v>
          </cell>
          <cell r="AZ12">
            <v>0.4128579839358425</v>
          </cell>
          <cell r="BA12">
            <v>0.13441753430499181</v>
          </cell>
          <cell r="BB12">
            <v>1.6600517682014835</v>
          </cell>
          <cell r="BC12">
            <v>0.4982491808369909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  <row r="203">
          <cell r="D203">
            <v>39143</v>
          </cell>
          <cell r="F203">
            <v>9</v>
          </cell>
          <cell r="K203">
            <v>7.22</v>
          </cell>
          <cell r="L203">
            <v>11.9</v>
          </cell>
        </row>
        <row r="204">
          <cell r="D204">
            <v>39174</v>
          </cell>
          <cell r="F204">
            <v>9</v>
          </cell>
          <cell r="K204">
            <v>7.18</v>
          </cell>
          <cell r="L204">
            <v>12.44</v>
          </cell>
        </row>
        <row r="205">
          <cell r="D205">
            <v>39204</v>
          </cell>
          <cell r="F205">
            <v>9</v>
          </cell>
          <cell r="K205">
            <v>7.34</v>
          </cell>
          <cell r="L205">
            <v>12.65</v>
          </cell>
        </row>
        <row r="206">
          <cell r="D206">
            <v>39235</v>
          </cell>
          <cell r="F206">
            <v>9.5</v>
          </cell>
          <cell r="K206">
            <v>7.24</v>
          </cell>
          <cell r="L206">
            <v>12.22</v>
          </cell>
        </row>
        <row r="207">
          <cell r="D207">
            <v>39265</v>
          </cell>
          <cell r="F207">
            <v>9.5</v>
          </cell>
          <cell r="K207">
            <v>7.49</v>
          </cell>
          <cell r="L207">
            <v>13.03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9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140</v>
      </c>
    </row>
    <row r="2" ht="37.5">
      <c r="A2" s="27"/>
    </row>
    <row r="3" ht="37.5">
      <c r="A3" s="27"/>
    </row>
    <row r="4" ht="33">
      <c r="A4" s="28"/>
    </row>
    <row r="5" ht="37.5">
      <c r="A5" s="27"/>
    </row>
    <row r="6" ht="33">
      <c r="A6" s="28"/>
    </row>
    <row r="7" ht="37.5">
      <c r="A7" s="29"/>
    </row>
    <row r="8" ht="37.5">
      <c r="A8" s="29"/>
    </row>
    <row r="9" ht="33">
      <c r="A9" s="128"/>
    </row>
    <row r="11" ht="40.5">
      <c r="A11" s="30"/>
    </row>
    <row r="12" ht="40.5">
      <c r="A12" s="30"/>
    </row>
    <row r="13" ht="40.5">
      <c r="A13" s="30" t="s">
        <v>47</v>
      </c>
    </row>
    <row r="14" ht="40.5">
      <c r="A14" s="30"/>
    </row>
    <row r="15" ht="40.5">
      <c r="A15" s="30" t="s">
        <v>48</v>
      </c>
    </row>
    <row r="16" ht="40.5">
      <c r="A16" s="30"/>
    </row>
    <row r="17" ht="40.5">
      <c r="A17" s="30" t="s">
        <v>49</v>
      </c>
    </row>
    <row r="18" ht="40.5">
      <c r="A18" s="30"/>
    </row>
    <row r="19" ht="40.5">
      <c r="A19" s="32">
        <v>39293</v>
      </c>
    </row>
    <row r="20" ht="40.5">
      <c r="A20" s="31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53"/>
  <sheetViews>
    <sheetView zoomScalePageLayoutView="0" workbookViewId="0" topLeftCell="B16">
      <selection activeCell="B28" sqref="B28"/>
    </sheetView>
  </sheetViews>
  <sheetFormatPr defaultColWidth="9.140625" defaultRowHeight="12"/>
  <cols>
    <col min="2" max="2" width="48.00390625" style="0" customWidth="1"/>
    <col min="3" max="4" width="9.7109375" style="0" customWidth="1"/>
    <col min="5" max="5" width="11.140625" style="0" customWidth="1"/>
    <col min="6" max="6" width="9.421875" style="0" customWidth="1"/>
    <col min="7" max="7" width="8.421875" style="0" customWidth="1"/>
    <col min="8" max="8" width="9.28125" style="0" customWidth="1"/>
    <col min="9" max="9" width="9.140625" style="0" customWidth="1"/>
  </cols>
  <sheetData>
    <row r="1" ht="12" thickBot="1"/>
    <row r="2" spans="2:9" ht="11.25">
      <c r="B2" s="233" t="s">
        <v>109</v>
      </c>
      <c r="C2" s="234"/>
      <c r="D2" s="234"/>
      <c r="E2" s="234"/>
      <c r="F2" s="234"/>
      <c r="G2" s="234"/>
      <c r="H2" s="234"/>
      <c r="I2" s="235"/>
    </row>
    <row r="3" spans="2:9" ht="11.25">
      <c r="B3" s="182"/>
      <c r="C3" s="24"/>
      <c r="D3" s="24"/>
      <c r="E3" s="24"/>
      <c r="F3" s="227" t="s">
        <v>159</v>
      </c>
      <c r="G3" s="228"/>
      <c r="H3" s="227" t="s">
        <v>161</v>
      </c>
      <c r="I3" s="229"/>
    </row>
    <row r="4" spans="2:9" ht="11.25">
      <c r="B4" s="183"/>
      <c r="C4" s="12">
        <v>38926</v>
      </c>
      <c r="D4" s="12">
        <v>39263</v>
      </c>
      <c r="E4" s="12">
        <v>39293</v>
      </c>
      <c r="F4" s="12" t="s">
        <v>164</v>
      </c>
      <c r="G4" s="126" t="s">
        <v>162</v>
      </c>
      <c r="H4" s="126" t="s">
        <v>164</v>
      </c>
      <c r="I4" s="184" t="s">
        <v>162</v>
      </c>
    </row>
    <row r="5" spans="2:9" ht="11.25">
      <c r="B5" s="185"/>
      <c r="C5" s="37"/>
      <c r="D5" s="37"/>
      <c r="E5" s="37"/>
      <c r="F5" s="37"/>
      <c r="G5" s="38"/>
      <c r="H5" s="38"/>
      <c r="I5" s="186"/>
    </row>
    <row r="6" spans="2:12" ht="11.25">
      <c r="B6" s="187" t="s">
        <v>1</v>
      </c>
      <c r="C6" s="43">
        <v>2295.91106356</v>
      </c>
      <c r="D6" s="43">
        <v>6949.750272874107</v>
      </c>
      <c r="E6" s="43">
        <v>9292.82372747</v>
      </c>
      <c r="F6" s="43">
        <v>2343.073454595893</v>
      </c>
      <c r="G6" s="43">
        <v>6996.9126639099995</v>
      </c>
      <c r="H6" s="43">
        <v>33.71449854451967</v>
      </c>
      <c r="I6" s="188">
        <v>304.7553877396586</v>
      </c>
      <c r="L6" s="68"/>
    </row>
    <row r="7" spans="2:9" ht="11.25">
      <c r="B7" s="187" t="s">
        <v>81</v>
      </c>
      <c r="C7" s="43">
        <v>27185.637643240003</v>
      </c>
      <c r="D7" s="43">
        <v>27793.35149304</v>
      </c>
      <c r="E7" s="43">
        <v>28172.323417350002</v>
      </c>
      <c r="F7" s="43">
        <v>378.97192431000076</v>
      </c>
      <c r="G7" s="132">
        <v>986.6857741099993</v>
      </c>
      <c r="H7" s="132">
        <v>1.3635344568103014</v>
      </c>
      <c r="I7" s="188">
        <v>3.629437672415049</v>
      </c>
    </row>
    <row r="8" spans="2:9" ht="11.25">
      <c r="B8" s="189" t="s">
        <v>97</v>
      </c>
      <c r="C8" s="13">
        <v>-369.36468526</v>
      </c>
      <c r="D8" s="13">
        <v>-2892.46073869</v>
      </c>
      <c r="E8" s="13">
        <v>-2590.2533783600006</v>
      </c>
      <c r="F8" s="13">
        <v>302.2073603299996</v>
      </c>
      <c r="G8" s="133">
        <v>-2220.8886931000006</v>
      </c>
      <c r="H8" s="133">
        <v>-10.448105873577726</v>
      </c>
      <c r="I8" s="190">
        <v>601.2726126041779</v>
      </c>
    </row>
    <row r="9" spans="2:9" ht="11.25">
      <c r="B9" s="189" t="s">
        <v>50</v>
      </c>
      <c r="C9" s="13">
        <v>27555.002328500002</v>
      </c>
      <c r="D9" s="13">
        <v>30685.81223173</v>
      </c>
      <c r="E9" s="13">
        <v>30762.576795710003</v>
      </c>
      <c r="F9" s="13">
        <v>76.764563980003</v>
      </c>
      <c r="G9" s="133">
        <v>3207.574467210001</v>
      </c>
      <c r="H9" s="133">
        <v>0.2501630505990852</v>
      </c>
      <c r="I9" s="190">
        <v>11.64062491801143</v>
      </c>
    </row>
    <row r="10" spans="2:9" ht="11.25">
      <c r="B10" s="191" t="s">
        <v>99</v>
      </c>
      <c r="C10" s="13">
        <v>625.327</v>
      </c>
      <c r="D10" s="13">
        <v>1067.661</v>
      </c>
      <c r="E10" s="13">
        <v>983.649</v>
      </c>
      <c r="F10" s="13">
        <v>-84.01200000000006</v>
      </c>
      <c r="G10" s="133">
        <v>358.322</v>
      </c>
      <c r="H10" s="133">
        <v>-7.868789812496669</v>
      </c>
      <c r="I10" s="190">
        <v>57.301539834358664</v>
      </c>
    </row>
    <row r="11" spans="2:9" ht="11.25">
      <c r="B11" s="191" t="s">
        <v>100</v>
      </c>
      <c r="C11" s="13">
        <v>20.806</v>
      </c>
      <c r="D11" s="13">
        <v>27.021</v>
      </c>
      <c r="E11" s="13">
        <v>40.36</v>
      </c>
      <c r="F11" s="13">
        <v>13.338999999999999</v>
      </c>
      <c r="G11" s="133">
        <v>19.554</v>
      </c>
      <c r="H11" s="133">
        <v>49.365308463787414</v>
      </c>
      <c r="I11" s="190">
        <v>93.98250504662116</v>
      </c>
    </row>
    <row r="12" spans="2:9" ht="11.25">
      <c r="B12" s="191" t="s">
        <v>101</v>
      </c>
      <c r="C12" s="13">
        <v>402.979</v>
      </c>
      <c r="D12" s="13">
        <v>415.22499999999997</v>
      </c>
      <c r="E12" s="13">
        <v>380.11699999999996</v>
      </c>
      <c r="F12" s="13">
        <v>-35.108000000000004</v>
      </c>
      <c r="G12" s="133">
        <v>-22.862000000000023</v>
      </c>
      <c r="H12" s="133">
        <v>-8.455174905171896</v>
      </c>
      <c r="I12" s="190">
        <v>-5.673248481930826</v>
      </c>
    </row>
    <row r="13" spans="2:9" ht="11.25">
      <c r="B13" s="191" t="s">
        <v>102</v>
      </c>
      <c r="C13" s="13">
        <v>9385.065999999999</v>
      </c>
      <c r="D13" s="13">
        <v>9878.03873034</v>
      </c>
      <c r="E13" s="13">
        <v>9915.000863750001</v>
      </c>
      <c r="F13" s="13">
        <v>36.962133410001115</v>
      </c>
      <c r="G13" s="133">
        <v>529.9348637500025</v>
      </c>
      <c r="H13" s="133">
        <v>0.3741849411510546</v>
      </c>
      <c r="I13" s="190">
        <v>5.646575780607217</v>
      </c>
    </row>
    <row r="14" spans="2:12" ht="11.25">
      <c r="B14" s="191" t="s">
        <v>103</v>
      </c>
      <c r="C14" s="13">
        <v>17120.824328500003</v>
      </c>
      <c r="D14" s="13">
        <v>19297.86650139</v>
      </c>
      <c r="E14" s="13">
        <v>19443.44993196</v>
      </c>
      <c r="F14" s="13">
        <v>145.58343057000093</v>
      </c>
      <c r="G14" s="133">
        <v>2322.6256034599974</v>
      </c>
      <c r="H14" s="133">
        <v>0.7544016876659124</v>
      </c>
      <c r="I14" s="190">
        <v>13.566085130572029</v>
      </c>
      <c r="J14" s="65"/>
      <c r="K14" s="65"/>
      <c r="L14" s="68"/>
    </row>
    <row r="15" spans="2:9" ht="11.25">
      <c r="B15" s="187" t="s">
        <v>45</v>
      </c>
      <c r="C15" s="13">
        <v>-8508.596154600002</v>
      </c>
      <c r="D15" s="13">
        <v>-12245.932053137112</v>
      </c>
      <c r="E15" s="13">
        <v>-12610.710221703</v>
      </c>
      <c r="F15" s="13">
        <v>-364.77816856588834</v>
      </c>
      <c r="G15" s="133">
        <v>-4035.695908853</v>
      </c>
      <c r="H15" s="133">
        <v>2.978770149818372</v>
      </c>
      <c r="I15" s="190">
        <v>47.063430585828286</v>
      </c>
    </row>
    <row r="16" spans="2:9" ht="12" thickBot="1">
      <c r="B16" s="192" t="s">
        <v>53</v>
      </c>
      <c r="C16" s="45">
        <v>20972.952552200004</v>
      </c>
      <c r="D16" s="45">
        <v>22497.169712776995</v>
      </c>
      <c r="E16" s="45">
        <v>24854.436923117002</v>
      </c>
      <c r="F16" s="45">
        <v>2357.2672103400073</v>
      </c>
      <c r="G16" s="134">
        <v>3881.5677310399988</v>
      </c>
      <c r="H16" s="134">
        <v>10.478061198076956</v>
      </c>
      <c r="I16" s="193">
        <v>18.507489126733244</v>
      </c>
    </row>
    <row r="17" spans="2:11" ht="12" thickBot="1">
      <c r="B17" s="46"/>
      <c r="C17" s="39"/>
      <c r="D17" s="39"/>
      <c r="E17" s="39"/>
      <c r="F17" s="39"/>
      <c r="G17" s="39"/>
      <c r="H17" s="39"/>
      <c r="I17" s="39"/>
      <c r="K17" s="65"/>
    </row>
    <row r="18" spans="2:9" ht="11.25">
      <c r="B18" s="230" t="s">
        <v>110</v>
      </c>
      <c r="C18" s="231"/>
      <c r="D18" s="231"/>
      <c r="E18" s="231"/>
      <c r="F18" s="231"/>
      <c r="G18" s="231"/>
      <c r="H18" s="231"/>
      <c r="I18" s="232"/>
    </row>
    <row r="19" spans="2:9" ht="11.25">
      <c r="B19" s="182"/>
      <c r="C19" s="24"/>
      <c r="D19" s="24"/>
      <c r="E19" s="24"/>
      <c r="F19" s="227" t="s">
        <v>159</v>
      </c>
      <c r="G19" s="228"/>
      <c r="H19" s="227" t="s">
        <v>163</v>
      </c>
      <c r="I19" s="229"/>
    </row>
    <row r="20" spans="2:9" ht="11.25">
      <c r="B20" s="183"/>
      <c r="C20" s="12">
        <v>38926</v>
      </c>
      <c r="D20" s="12">
        <v>39263</v>
      </c>
      <c r="E20" s="12">
        <v>39293</v>
      </c>
      <c r="F20" s="12" t="s">
        <v>164</v>
      </c>
      <c r="G20" s="126" t="s">
        <v>162</v>
      </c>
      <c r="H20" s="126" t="s">
        <v>164</v>
      </c>
      <c r="I20" s="184" t="s">
        <v>162</v>
      </c>
    </row>
    <row r="21" spans="2:9" ht="11.25">
      <c r="B21" s="194"/>
      <c r="C21" s="40"/>
      <c r="D21" s="40"/>
      <c r="E21" s="40"/>
      <c r="F21" s="40"/>
      <c r="G21" s="40"/>
      <c r="H21" s="40"/>
      <c r="I21" s="195"/>
    </row>
    <row r="22" spans="2:9" ht="11.25">
      <c r="B22" s="187" t="s">
        <v>53</v>
      </c>
      <c r="C22" s="43">
        <v>20972.95697142</v>
      </c>
      <c r="D22" s="43">
        <v>22497.223645439994</v>
      </c>
      <c r="E22" s="43">
        <v>24854.52470246</v>
      </c>
      <c r="F22" s="43">
        <v>2357.301057020006</v>
      </c>
      <c r="G22" s="43">
        <v>3881.5677310399988</v>
      </c>
      <c r="H22" s="43">
        <v>10.478186527242048</v>
      </c>
      <c r="I22" s="188">
        <v>18.507489126733244</v>
      </c>
    </row>
    <row r="23" spans="2:10" ht="11.25">
      <c r="B23" s="189" t="s">
        <v>54</v>
      </c>
      <c r="C23" s="13">
        <v>727.4090887499999</v>
      </c>
      <c r="D23" s="13">
        <v>814.52121255</v>
      </c>
      <c r="E23" s="13">
        <v>794.7948245099999</v>
      </c>
      <c r="F23" s="13">
        <v>-19.726388040000074</v>
      </c>
      <c r="G23" s="13">
        <v>67.38573575999999</v>
      </c>
      <c r="H23" s="13">
        <v>-2.4218384660901826</v>
      </c>
      <c r="I23" s="190">
        <v>9.263801731677221</v>
      </c>
      <c r="J23" s="65"/>
    </row>
    <row r="24" spans="2:9" ht="11.25">
      <c r="B24" s="189" t="s">
        <v>55</v>
      </c>
      <c r="C24" s="13">
        <v>11743.383216740001</v>
      </c>
      <c r="D24" s="13">
        <v>12547.111016629997</v>
      </c>
      <c r="E24" s="13">
        <v>14869.93033884</v>
      </c>
      <c r="F24" s="13">
        <v>2322.8193222100035</v>
      </c>
      <c r="G24" s="13">
        <v>3126.547122099999</v>
      </c>
      <c r="H24" s="13">
        <v>18.5127820988539</v>
      </c>
      <c r="I24" s="190">
        <v>26.62390440978846</v>
      </c>
    </row>
    <row r="25" spans="2:9" ht="11.25">
      <c r="B25" s="189" t="s">
        <v>56</v>
      </c>
      <c r="C25" s="13">
        <v>8494.18283562</v>
      </c>
      <c r="D25" s="13">
        <v>9129.72341626</v>
      </c>
      <c r="E25" s="13">
        <v>9183.93153911</v>
      </c>
      <c r="F25" s="13">
        <v>54.20812285000102</v>
      </c>
      <c r="G25" s="13">
        <v>689.7487034900005</v>
      </c>
      <c r="H25" s="13">
        <v>0.5937542724838364</v>
      </c>
      <c r="I25" s="190">
        <v>8.120247901864888</v>
      </c>
    </row>
    <row r="26" spans="2:9" ht="12" thickBot="1">
      <c r="B26" s="196" t="s">
        <v>148</v>
      </c>
      <c r="C26" s="197">
        <v>7.981830309999999</v>
      </c>
      <c r="D26" s="197">
        <v>5.868</v>
      </c>
      <c r="E26" s="197">
        <v>5.868</v>
      </c>
      <c r="F26" s="197">
        <v>0</v>
      </c>
      <c r="G26" s="197">
        <v>-2.113830309999999</v>
      </c>
      <c r="H26" s="197">
        <v>0</v>
      </c>
      <c r="I26" s="198">
        <v>-26.483027424821305</v>
      </c>
    </row>
    <row r="27" spans="2:9" ht="11.25">
      <c r="B27" s="48"/>
      <c r="C27" s="127"/>
      <c r="D27" s="127"/>
      <c r="E27" s="127"/>
      <c r="F27" s="127"/>
      <c r="G27" s="127"/>
      <c r="H27" s="127"/>
      <c r="I27" s="127"/>
    </row>
    <row r="28" spans="2:9" ht="11.25">
      <c r="B28" s="48"/>
      <c r="C28" s="26"/>
      <c r="D28" s="26"/>
      <c r="E28" s="26"/>
      <c r="F28" s="26"/>
      <c r="G28" s="26"/>
      <c r="H28" s="26"/>
      <c r="I28" s="26"/>
    </row>
    <row r="29" spans="2:9" ht="12" thickBot="1">
      <c r="B29" s="47"/>
      <c r="C29" s="39"/>
      <c r="D29" s="39"/>
      <c r="E29" s="39"/>
      <c r="F29" s="39"/>
      <c r="G29" s="39"/>
      <c r="H29" s="39"/>
      <c r="I29" s="39"/>
    </row>
    <row r="30" spans="2:9" ht="11.25">
      <c r="B30" s="230" t="s">
        <v>111</v>
      </c>
      <c r="C30" s="231"/>
      <c r="D30" s="231"/>
      <c r="E30" s="231"/>
      <c r="F30" s="231"/>
      <c r="G30" s="231"/>
      <c r="H30" s="231"/>
      <c r="I30" s="232"/>
    </row>
    <row r="31" spans="2:9" ht="11.25">
      <c r="B31" s="182"/>
      <c r="C31" s="24"/>
      <c r="D31" s="24"/>
      <c r="E31" s="24"/>
      <c r="F31" s="227" t="s">
        <v>158</v>
      </c>
      <c r="G31" s="228"/>
      <c r="H31" s="227" t="s">
        <v>161</v>
      </c>
      <c r="I31" s="229"/>
    </row>
    <row r="32" spans="2:9" ht="11.25">
      <c r="B32" s="183"/>
      <c r="C32" s="12">
        <v>38926</v>
      </c>
      <c r="D32" s="12">
        <v>39263</v>
      </c>
      <c r="E32" s="12">
        <v>39293</v>
      </c>
      <c r="F32" s="12" t="s">
        <v>164</v>
      </c>
      <c r="G32" s="126" t="s">
        <v>162</v>
      </c>
      <c r="H32" s="126" t="s">
        <v>164</v>
      </c>
      <c r="I32" s="184" t="s">
        <v>162</v>
      </c>
    </row>
    <row r="33" spans="2:9" ht="11.25">
      <c r="B33" s="199"/>
      <c r="C33" s="41"/>
      <c r="D33" s="209"/>
      <c r="E33" s="209"/>
      <c r="F33" s="41"/>
      <c r="G33" s="42"/>
      <c r="H33" s="42"/>
      <c r="I33" s="200"/>
    </row>
    <row r="34" spans="2:9" ht="11.25">
      <c r="B34" s="201" t="s">
        <v>112</v>
      </c>
      <c r="C34" s="135">
        <v>26459.50487563</v>
      </c>
      <c r="D34" s="210">
        <v>29191.3844528</v>
      </c>
      <c r="E34" s="253">
        <v>29381.090162039996</v>
      </c>
      <c r="F34" s="135">
        <v>189.7057092400016</v>
      </c>
      <c r="G34" s="135">
        <v>2921.585286409998</v>
      </c>
      <c r="H34" s="135">
        <v>0.649868832177979</v>
      </c>
      <c r="I34" s="202">
        <v>11.041723192261491</v>
      </c>
    </row>
    <row r="35" spans="2:9" ht="11.25">
      <c r="B35" s="203" t="s">
        <v>51</v>
      </c>
      <c r="C35" s="136">
        <v>0</v>
      </c>
      <c r="D35" s="137">
        <v>0</v>
      </c>
      <c r="E35" s="254">
        <v>0</v>
      </c>
      <c r="F35" s="136">
        <v>0</v>
      </c>
      <c r="G35" s="136">
        <v>0</v>
      </c>
      <c r="H35" s="136">
        <v>0</v>
      </c>
      <c r="I35" s="204">
        <v>0</v>
      </c>
    </row>
    <row r="36" spans="2:9" ht="11.25">
      <c r="B36" s="203" t="s">
        <v>57</v>
      </c>
      <c r="C36" s="136">
        <v>9311.793</v>
      </c>
      <c r="D36" s="137">
        <v>9866.45073034</v>
      </c>
      <c r="E36" s="254">
        <v>9906.07986375</v>
      </c>
      <c r="F36" s="136">
        <v>39.62913340999876</v>
      </c>
      <c r="G36" s="136">
        <v>594.2868637499996</v>
      </c>
      <c r="H36" s="136">
        <v>0.40165541280347655</v>
      </c>
      <c r="I36" s="204">
        <v>6.382088430767303</v>
      </c>
    </row>
    <row r="37" spans="2:9" ht="11.25">
      <c r="B37" s="205" t="s">
        <v>113</v>
      </c>
      <c r="C37" s="137">
        <v>7455.464</v>
      </c>
      <c r="D37" s="137">
        <v>7686.542245680001</v>
      </c>
      <c r="E37" s="254">
        <v>7659.58668503</v>
      </c>
      <c r="F37" s="137">
        <v>-26.955560650000734</v>
      </c>
      <c r="G37" s="136">
        <v>204.12268502999996</v>
      </c>
      <c r="H37" s="136">
        <v>-0.3506851297818643</v>
      </c>
      <c r="I37" s="204">
        <v>2.7378937787104864</v>
      </c>
    </row>
    <row r="38" spans="2:9" ht="11.25">
      <c r="B38" s="206" t="s">
        <v>114</v>
      </c>
      <c r="C38" s="122">
        <v>786.423</v>
      </c>
      <c r="D38" s="122">
        <v>1939.161</v>
      </c>
      <c r="E38" s="255">
        <v>1651.449</v>
      </c>
      <c r="F38" s="217">
        <v>-287.712</v>
      </c>
      <c r="G38" s="136">
        <v>865.0260000000001</v>
      </c>
      <c r="H38" s="136">
        <v>-14.836932054635998</v>
      </c>
      <c r="I38" s="204">
        <v>109.99500268939235</v>
      </c>
    </row>
    <row r="39" spans="2:9" ht="11.25">
      <c r="B39" s="206" t="s">
        <v>115</v>
      </c>
      <c r="C39" s="122">
        <v>2651.866</v>
      </c>
      <c r="D39" s="122">
        <v>2472.4918991100003</v>
      </c>
      <c r="E39" s="255">
        <v>2308.86684357</v>
      </c>
      <c r="F39" s="217">
        <v>-163.62505554000018</v>
      </c>
      <c r="G39" s="136">
        <v>-342.99915642999986</v>
      </c>
      <c r="H39" s="136">
        <v>-6.617819682195875</v>
      </c>
      <c r="I39" s="204">
        <v>-12.934256724510206</v>
      </c>
    </row>
    <row r="40" spans="2:9" ht="11.25">
      <c r="B40" s="206" t="s">
        <v>116</v>
      </c>
      <c r="C40" s="122">
        <v>4017.175</v>
      </c>
      <c r="D40" s="122">
        <v>3274.8893465700003</v>
      </c>
      <c r="E40" s="255">
        <v>3699.2708414599997</v>
      </c>
      <c r="F40" s="122">
        <v>424.38149488999943</v>
      </c>
      <c r="G40" s="136">
        <v>-317.9041585400005</v>
      </c>
      <c r="H40" s="136">
        <v>12.958651422359694</v>
      </c>
      <c r="I40" s="204">
        <v>-7.9136248368567585</v>
      </c>
    </row>
    <row r="41" spans="2:9" ht="11.25">
      <c r="B41" s="205" t="s">
        <v>117</v>
      </c>
      <c r="C41" s="122">
        <v>1117.033</v>
      </c>
      <c r="D41" s="122">
        <v>1378.64822649</v>
      </c>
      <c r="E41" s="255">
        <v>1441.50531324</v>
      </c>
      <c r="F41" s="122">
        <v>62.85708675000001</v>
      </c>
      <c r="G41" s="136">
        <v>324.4723132400002</v>
      </c>
      <c r="H41" s="136">
        <v>4.559327429741262</v>
      </c>
      <c r="I41" s="204">
        <v>29.047692703796596</v>
      </c>
    </row>
    <row r="42" spans="2:9" ht="11.25">
      <c r="B42" s="205" t="s">
        <v>118</v>
      </c>
      <c r="C42" s="122">
        <v>41.17</v>
      </c>
      <c r="D42" s="122">
        <v>43.38525817</v>
      </c>
      <c r="E42" s="255">
        <v>47.10386548</v>
      </c>
      <c r="F42" s="122">
        <v>3.718607310000003</v>
      </c>
      <c r="G42" s="136">
        <v>5.9338654800000015</v>
      </c>
      <c r="H42" s="136">
        <v>8.571130994378507</v>
      </c>
      <c r="I42" s="204">
        <v>14.413081078455189</v>
      </c>
    </row>
    <row r="43" spans="2:10" ht="11.25">
      <c r="B43" s="205" t="s">
        <v>119</v>
      </c>
      <c r="C43" s="122">
        <v>698.126</v>
      </c>
      <c r="D43" s="122">
        <v>757.875</v>
      </c>
      <c r="E43" s="255">
        <v>757.884</v>
      </c>
      <c r="F43" s="122">
        <v>0.009000000000014552</v>
      </c>
      <c r="G43" s="136">
        <v>59.75800000000004</v>
      </c>
      <c r="H43" s="136">
        <v>0.0011875309252864326</v>
      </c>
      <c r="I43" s="204">
        <v>8.559772877675382</v>
      </c>
      <c r="J43" s="61"/>
    </row>
    <row r="44" spans="2:11" ht="11.25">
      <c r="B44" s="203" t="s">
        <v>88</v>
      </c>
      <c r="C44" s="123">
        <v>17101.03287563</v>
      </c>
      <c r="D44" s="123">
        <v>19280.676722459997</v>
      </c>
      <c r="E44" s="256">
        <v>19425.65829829</v>
      </c>
      <c r="F44" s="123">
        <v>144.98157583000284</v>
      </c>
      <c r="G44" s="136">
        <v>2324.6254226599995</v>
      </c>
      <c r="H44" s="136">
        <v>0.7519527344240686</v>
      </c>
      <c r="I44" s="204">
        <v>13.593479642815787</v>
      </c>
      <c r="J44" s="61"/>
      <c r="K44" s="61"/>
    </row>
    <row r="45" spans="2:9" ht="11.25">
      <c r="B45" s="205" t="s">
        <v>120</v>
      </c>
      <c r="C45" s="123">
        <v>13556.877875630002</v>
      </c>
      <c r="D45" s="123">
        <v>15617.468116729999</v>
      </c>
      <c r="E45" s="256">
        <v>15758.25857245</v>
      </c>
      <c r="F45" s="123">
        <v>140.79045572000177</v>
      </c>
      <c r="G45" s="136">
        <v>2201.380696819999</v>
      </c>
      <c r="H45" s="136">
        <v>0.9014934729988784</v>
      </c>
      <c r="I45" s="204">
        <v>16.238109666660243</v>
      </c>
    </row>
    <row r="46" spans="2:9" ht="11.25">
      <c r="B46" s="206" t="s">
        <v>114</v>
      </c>
      <c r="C46" s="122">
        <v>11000.26950571</v>
      </c>
      <c r="D46" s="122">
        <v>12611.542678459999</v>
      </c>
      <c r="E46" s="255">
        <v>12715.8964667</v>
      </c>
      <c r="F46" s="122">
        <v>104.35378824000145</v>
      </c>
      <c r="G46" s="136">
        <v>1715.6269609899991</v>
      </c>
      <c r="H46" s="136">
        <v>0.8274466566111176</v>
      </c>
      <c r="I46" s="204">
        <v>15.596226620624654</v>
      </c>
    </row>
    <row r="47" spans="2:9" ht="11.25">
      <c r="B47" s="206" t="s">
        <v>121</v>
      </c>
      <c r="C47" s="122">
        <v>1412.42636992</v>
      </c>
      <c r="D47" s="122">
        <v>1908.5277894900003</v>
      </c>
      <c r="E47" s="255">
        <v>1907.1511000200003</v>
      </c>
      <c r="F47" s="217">
        <v>-1.3766894699999739</v>
      </c>
      <c r="G47" s="136">
        <v>494.7247301000002</v>
      </c>
      <c r="H47" s="136">
        <v>-0.07213358262746883</v>
      </c>
      <c r="I47" s="204">
        <v>35.0265855010921</v>
      </c>
    </row>
    <row r="48" spans="2:10" ht="11.25">
      <c r="B48" s="206" t="s">
        <v>116</v>
      </c>
      <c r="C48" s="122">
        <v>1144.182</v>
      </c>
      <c r="D48" s="122">
        <v>1097.3976487799998</v>
      </c>
      <c r="E48" s="255">
        <v>1135.21100573</v>
      </c>
      <c r="F48" s="122">
        <v>37.81335695000007</v>
      </c>
      <c r="G48" s="136">
        <v>-8.97099427000012</v>
      </c>
      <c r="H48" s="136">
        <v>3.4457297217684015</v>
      </c>
      <c r="I48" s="204">
        <v>-0.7840530850861243</v>
      </c>
      <c r="J48" s="61"/>
    </row>
    <row r="49" spans="2:9" ht="11.25">
      <c r="B49" s="205" t="s">
        <v>117</v>
      </c>
      <c r="C49" s="122">
        <v>3150.263</v>
      </c>
      <c r="D49" s="122">
        <v>3228.25784111</v>
      </c>
      <c r="E49" s="255">
        <v>3231.01297851</v>
      </c>
      <c r="F49" s="122">
        <v>2.755137399999967</v>
      </c>
      <c r="G49" s="136">
        <v>80.74997850999989</v>
      </c>
      <c r="H49" s="136">
        <v>0.08534440356389389</v>
      </c>
      <c r="I49" s="204">
        <v>2.563277367953085</v>
      </c>
    </row>
    <row r="50" spans="2:9" ht="11.25">
      <c r="B50" s="205" t="s">
        <v>118</v>
      </c>
      <c r="C50" s="122">
        <v>63.652</v>
      </c>
      <c r="D50" s="122">
        <v>73.68676462</v>
      </c>
      <c r="E50" s="255">
        <v>73.76574733</v>
      </c>
      <c r="F50" s="122">
        <v>0.07898270999999113</v>
      </c>
      <c r="G50" s="136">
        <v>10.113747329999995</v>
      </c>
      <c r="H50" s="136">
        <v>0.10718710531979811</v>
      </c>
      <c r="I50" s="204">
        <v>15.889127332998171</v>
      </c>
    </row>
    <row r="51" spans="2:9" ht="11.25">
      <c r="B51" s="205" t="s">
        <v>119</v>
      </c>
      <c r="C51" s="122">
        <v>330.24</v>
      </c>
      <c r="D51" s="122">
        <v>361.264</v>
      </c>
      <c r="E51" s="255">
        <v>362.621</v>
      </c>
      <c r="F51" s="122">
        <v>1.356999999999971</v>
      </c>
      <c r="G51" s="136">
        <v>32.38099999999997</v>
      </c>
      <c r="H51" s="136">
        <v>0.3756255812923432</v>
      </c>
      <c r="I51" s="204">
        <v>9.80529312015503</v>
      </c>
    </row>
    <row r="52" spans="2:9" ht="12" thickBot="1">
      <c r="B52" s="207" t="s">
        <v>122</v>
      </c>
      <c r="C52" s="138">
        <v>46.679</v>
      </c>
      <c r="D52" s="211">
        <v>44.257</v>
      </c>
      <c r="E52" s="257">
        <v>49.352000000000004</v>
      </c>
      <c r="F52" s="138">
        <v>5.095000000000006</v>
      </c>
      <c r="G52" s="139">
        <v>2.673000000000002</v>
      </c>
      <c r="H52" s="139">
        <v>11.512303138486581</v>
      </c>
      <c r="I52" s="208">
        <v>5.726343752008401</v>
      </c>
    </row>
    <row r="53" ht="11.25">
      <c r="B53" s="71" t="s">
        <v>138</v>
      </c>
    </row>
  </sheetData>
  <sheetProtection/>
  <mergeCells count="9">
    <mergeCell ref="F31:G31"/>
    <mergeCell ref="H31:I31"/>
    <mergeCell ref="B30:I30"/>
    <mergeCell ref="B2:I2"/>
    <mergeCell ref="B18:I18"/>
    <mergeCell ref="F3:G3"/>
    <mergeCell ref="H3:I3"/>
    <mergeCell ref="F19:G19"/>
    <mergeCell ref="H19:I19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8"/>
  <sheetViews>
    <sheetView showGridLines="0" zoomScale="90" zoomScaleNormal="90" zoomScalePageLayoutView="0" workbookViewId="0" topLeftCell="A40">
      <selection activeCell="A2" sqref="A2"/>
    </sheetView>
  </sheetViews>
  <sheetFormatPr defaultColWidth="9.140625" defaultRowHeight="12"/>
  <cols>
    <col min="1" max="16384" width="9.28125" style="1" customWidth="1"/>
  </cols>
  <sheetData>
    <row r="2" spans="2:13" ht="15.75">
      <c r="B2" s="236" t="s">
        <v>157</v>
      </c>
      <c r="C2" s="237"/>
      <c r="D2" s="237"/>
      <c r="E2" s="237"/>
      <c r="F2" s="237"/>
      <c r="G2" s="237"/>
      <c r="H2" s="237"/>
      <c r="I2" s="237"/>
      <c r="J2" s="237"/>
      <c r="K2" s="237"/>
      <c r="L2" s="238"/>
      <c r="M2" s="238"/>
    </row>
    <row r="3" spans="1:14" ht="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1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4" ht="1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ht="1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ht="1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ht="1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ht="1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1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ht="1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1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1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1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1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ht="1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</row>
    <row r="21" ht="15">
      <c r="D21" s="142"/>
    </row>
    <row r="25" spans="1:12" ht="15.75">
      <c r="A25" s="236"/>
      <c r="B25" s="237"/>
      <c r="C25" s="237"/>
      <c r="D25" s="237"/>
      <c r="E25" s="237"/>
      <c r="F25" s="237"/>
      <c r="G25" s="237"/>
      <c r="H25" s="237"/>
      <c r="I25" s="237"/>
      <c r="J25" s="237"/>
      <c r="K25" s="238"/>
      <c r="L25" s="238"/>
    </row>
    <row r="27" spans="2:13" ht="15.75">
      <c r="B27" s="236" t="s">
        <v>166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238"/>
    </row>
    <row r="28" spans="2:12" ht="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7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Q29" s="15"/>
    </row>
    <row r="30" spans="2:12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129" t="s">
        <v>104</v>
      </c>
      <c r="C46" s="129"/>
      <c r="D46" s="129"/>
      <c r="E46" s="129"/>
      <c r="F46" s="25"/>
      <c r="G46" s="25"/>
      <c r="H46" s="25"/>
      <c r="I46" s="25"/>
      <c r="J46" s="25"/>
      <c r="K46" s="25"/>
      <c r="L46" s="25"/>
    </row>
    <row r="47" spans="2:5" ht="15">
      <c r="B47" s="129" t="s">
        <v>167</v>
      </c>
      <c r="C47" s="129"/>
      <c r="D47" s="129"/>
      <c r="E47" s="129"/>
    </row>
    <row r="48" spans="2:5" ht="15">
      <c r="B48" s="25"/>
      <c r="C48" s="25"/>
      <c r="D48" s="25"/>
      <c r="E48" s="25"/>
    </row>
  </sheetData>
  <sheetProtection/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showGridLines="0" zoomScale="75" zoomScaleNormal="75" zoomScaleSheetLayoutView="75" zoomScalePageLayoutView="0" workbookViewId="0" topLeftCell="A1">
      <selection activeCell="E5" sqref="E5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3" t="s">
        <v>46</v>
      </c>
    </row>
    <row r="2" spans="1:5" ht="12.75" thickBot="1">
      <c r="A2" s="3" t="s">
        <v>2</v>
      </c>
      <c r="B2" s="58">
        <v>39262</v>
      </c>
      <c r="C2" s="58">
        <v>39293</v>
      </c>
      <c r="D2" s="144"/>
      <c r="E2" s="4"/>
    </row>
    <row r="3" spans="1:5" ht="12">
      <c r="A3" s="5"/>
      <c r="B3" s="35"/>
      <c r="C3" s="35"/>
      <c r="D3" s="145"/>
      <c r="E3" s="4"/>
    </row>
    <row r="4" spans="1:5" ht="12">
      <c r="A4" s="5" t="s">
        <v>3</v>
      </c>
      <c r="B4" s="36">
        <v>9.5</v>
      </c>
      <c r="C4" s="36">
        <v>9.5</v>
      </c>
      <c r="D4" s="145"/>
      <c r="E4" s="4"/>
    </row>
    <row r="5" spans="1:5" ht="12">
      <c r="A5" s="5"/>
      <c r="B5" s="36"/>
      <c r="C5" s="36"/>
      <c r="D5" s="145"/>
      <c r="E5" s="4"/>
    </row>
    <row r="6" spans="1:5" ht="12">
      <c r="A6" s="5" t="s">
        <v>41</v>
      </c>
      <c r="B6" s="36">
        <v>14.25</v>
      </c>
      <c r="C6" s="36">
        <v>14.25</v>
      </c>
      <c r="D6" s="146"/>
      <c r="E6" s="4"/>
    </row>
    <row r="7" spans="1:5" ht="12">
      <c r="A7" s="5"/>
      <c r="B7" s="36"/>
      <c r="C7" s="36"/>
      <c r="D7" s="146"/>
      <c r="E7" s="4"/>
    </row>
    <row r="8" spans="1:5" ht="12">
      <c r="A8" s="5" t="s">
        <v>4</v>
      </c>
      <c r="B8" s="36">
        <v>14.25</v>
      </c>
      <c r="C8" s="36">
        <v>14.25</v>
      </c>
      <c r="D8" s="146"/>
      <c r="E8" s="4"/>
    </row>
    <row r="9" spans="1:5" ht="12">
      <c r="A9" s="5"/>
      <c r="B9" s="36"/>
      <c r="C9" s="36"/>
      <c r="D9" s="146"/>
      <c r="E9" s="4"/>
    </row>
    <row r="10" spans="1:5" ht="12">
      <c r="A10" s="5" t="s">
        <v>141</v>
      </c>
      <c r="B10" s="36">
        <v>12.22</v>
      </c>
      <c r="C10" s="36">
        <v>13.03</v>
      </c>
      <c r="D10" s="146"/>
      <c r="E10" s="4"/>
    </row>
    <row r="11" spans="1:5" ht="12">
      <c r="A11" s="5"/>
      <c r="B11" s="36"/>
      <c r="C11" s="36"/>
      <c r="D11" s="146"/>
      <c r="E11" s="4"/>
    </row>
    <row r="12" spans="1:5" ht="12">
      <c r="A12" s="5" t="s">
        <v>5</v>
      </c>
      <c r="B12" s="36">
        <v>7.24</v>
      </c>
      <c r="C12" s="36">
        <v>7.49</v>
      </c>
      <c r="D12" s="146"/>
      <c r="E12" s="4"/>
    </row>
    <row r="13" spans="1:5" ht="12">
      <c r="A13" s="5"/>
      <c r="B13" s="36"/>
      <c r="C13" s="36"/>
      <c r="D13" s="145"/>
      <c r="E13" s="4"/>
    </row>
    <row r="14" spans="1:5" ht="12">
      <c r="A14" s="6" t="s">
        <v>6</v>
      </c>
      <c r="B14" s="36"/>
      <c r="C14" s="36"/>
      <c r="D14" s="145"/>
      <c r="E14" s="4"/>
    </row>
    <row r="15" spans="1:4" ht="12">
      <c r="A15" s="5"/>
      <c r="B15" s="36"/>
      <c r="C15" s="36"/>
      <c r="D15" s="145"/>
    </row>
    <row r="16" spans="1:4" ht="12">
      <c r="A16" s="5" t="s">
        <v>7</v>
      </c>
      <c r="B16" s="36">
        <v>8.03</v>
      </c>
      <c r="C16" s="36">
        <v>8.66</v>
      </c>
      <c r="D16" s="145"/>
    </row>
    <row r="17" spans="1:4" ht="12">
      <c r="A17" s="5" t="s">
        <v>40</v>
      </c>
      <c r="B17" s="36">
        <v>8.45</v>
      </c>
      <c r="C17" s="36">
        <v>9.14</v>
      </c>
      <c r="D17" s="145"/>
    </row>
    <row r="18" spans="1:4" ht="12">
      <c r="A18" s="5" t="s">
        <v>8</v>
      </c>
      <c r="B18" s="64">
        <v>150</v>
      </c>
      <c r="C18" s="64">
        <v>50</v>
      </c>
      <c r="D18" s="146"/>
    </row>
    <row r="19" spans="1:4" ht="12">
      <c r="A19" s="5" t="s">
        <v>9</v>
      </c>
      <c r="B19" s="64">
        <v>150</v>
      </c>
      <c r="C19" s="64">
        <v>50</v>
      </c>
      <c r="D19" s="146"/>
    </row>
    <row r="20" spans="1:4" ht="12">
      <c r="A20" s="5"/>
      <c r="B20" s="36"/>
      <c r="C20" s="36"/>
      <c r="D20" s="145"/>
    </row>
    <row r="21" spans="1:4" ht="12">
      <c r="A21" s="6" t="s">
        <v>10</v>
      </c>
      <c r="B21" s="36"/>
      <c r="C21" s="36"/>
      <c r="D21" s="145"/>
    </row>
    <row r="22" spans="1:4" ht="12">
      <c r="A22" s="5"/>
      <c r="B22" s="36"/>
      <c r="C22" s="36"/>
      <c r="D22" s="145"/>
    </row>
    <row r="23" spans="1:4" ht="12">
      <c r="A23" s="5" t="s">
        <v>7</v>
      </c>
      <c r="B23" s="64">
        <v>7.91</v>
      </c>
      <c r="C23" s="64">
        <v>8.88</v>
      </c>
      <c r="D23" s="146"/>
    </row>
    <row r="24" spans="1:4" ht="12">
      <c r="A24" s="5" t="s">
        <v>39</v>
      </c>
      <c r="B24" s="36">
        <v>8.41</v>
      </c>
      <c r="C24" s="36">
        <v>9.51</v>
      </c>
      <c r="D24" s="145"/>
    </row>
    <row r="25" spans="1:4" ht="12">
      <c r="A25" s="5" t="s">
        <v>8</v>
      </c>
      <c r="B25" s="64">
        <v>200</v>
      </c>
      <c r="C25" s="64">
        <v>50</v>
      </c>
      <c r="D25" s="146"/>
    </row>
    <row r="26" spans="1:4" ht="12">
      <c r="A26" s="5" t="s">
        <v>9</v>
      </c>
      <c r="B26" s="64">
        <v>200</v>
      </c>
      <c r="C26" s="64">
        <v>50</v>
      </c>
      <c r="D26" s="146"/>
    </row>
    <row r="27" spans="1:4" ht="12">
      <c r="A27" s="5"/>
      <c r="B27" s="36"/>
      <c r="C27" s="36"/>
      <c r="D27" s="145"/>
    </row>
    <row r="28" spans="1:4" ht="12">
      <c r="A28" s="6" t="s">
        <v>42</v>
      </c>
      <c r="B28" s="36"/>
      <c r="C28" s="36"/>
      <c r="D28" s="145"/>
    </row>
    <row r="29" spans="1:4" ht="12">
      <c r="A29" s="5"/>
      <c r="B29" s="60"/>
      <c r="C29" s="60"/>
      <c r="D29" s="147"/>
    </row>
    <row r="30" spans="1:4" ht="12">
      <c r="A30" s="5" t="s">
        <v>7</v>
      </c>
      <c r="B30" s="64">
        <v>7.87</v>
      </c>
      <c r="C30" s="64">
        <v>9.08</v>
      </c>
      <c r="D30" s="146"/>
    </row>
    <row r="31" spans="1:4" ht="12">
      <c r="A31" s="5" t="s">
        <v>39</v>
      </c>
      <c r="B31" s="64">
        <v>8.64</v>
      </c>
      <c r="C31" s="64">
        <v>9.98</v>
      </c>
      <c r="D31" s="146"/>
    </row>
    <row r="32" spans="1:4" ht="12">
      <c r="A32" s="5" t="s">
        <v>8</v>
      </c>
      <c r="B32" s="64">
        <v>330</v>
      </c>
      <c r="C32" s="64">
        <v>100</v>
      </c>
      <c r="D32" s="146"/>
    </row>
    <row r="33" spans="1:4" ht="12">
      <c r="A33" s="5" t="s">
        <v>9</v>
      </c>
      <c r="B33" s="36">
        <v>330</v>
      </c>
      <c r="C33" s="36">
        <v>100</v>
      </c>
      <c r="D33" s="145"/>
    </row>
    <row r="34" spans="1:4" ht="12">
      <c r="A34" s="5"/>
      <c r="B34" s="36"/>
      <c r="C34" s="36"/>
      <c r="D34" s="145"/>
    </row>
    <row r="35" spans="1:4" ht="12">
      <c r="A35" s="5"/>
      <c r="B35" s="36"/>
      <c r="C35" s="36"/>
      <c r="D35" s="145"/>
    </row>
    <row r="36" spans="1:4" ht="12">
      <c r="A36" s="5"/>
      <c r="B36" s="36"/>
      <c r="C36" s="36"/>
      <c r="D36" s="145"/>
    </row>
    <row r="37" spans="1:4" ht="12">
      <c r="A37" s="6" t="s">
        <v>43</v>
      </c>
      <c r="B37" s="36">
        <v>3699.99</v>
      </c>
      <c r="C37" s="36">
        <v>3599.99</v>
      </c>
      <c r="D37" s="145"/>
    </row>
    <row r="38" spans="1:4" ht="12">
      <c r="A38" s="5"/>
      <c r="B38" s="36"/>
      <c r="C38" s="36"/>
      <c r="D38" s="145"/>
    </row>
    <row r="39" spans="1:4" ht="12">
      <c r="A39" s="5"/>
      <c r="B39" s="33"/>
      <c r="C39" s="33"/>
      <c r="D39" s="148"/>
    </row>
    <row r="40" spans="1:4" ht="12.75" thickBot="1">
      <c r="A40" s="5"/>
      <c r="B40" s="153"/>
      <c r="C40" s="153"/>
      <c r="D40" s="148"/>
    </row>
    <row r="41" spans="1:4" ht="12.75" thickBot="1">
      <c r="A41" s="3" t="s">
        <v>11</v>
      </c>
      <c r="B41" s="58">
        <v>39262</v>
      </c>
      <c r="C41" s="58">
        <v>39293</v>
      </c>
      <c r="D41" s="144"/>
    </row>
    <row r="42" spans="1:4" ht="12">
      <c r="A42" s="5"/>
      <c r="B42" s="154"/>
      <c r="C42" s="154"/>
      <c r="D42" s="148"/>
    </row>
    <row r="43" spans="1:4" ht="12">
      <c r="A43" s="6" t="s">
        <v>12</v>
      </c>
      <c r="B43" s="33"/>
      <c r="C43" s="33"/>
      <c r="D43" s="148"/>
    </row>
    <row r="44" spans="1:4" ht="12">
      <c r="A44" s="7" t="s">
        <v>107</v>
      </c>
      <c r="B44" s="33"/>
      <c r="C44" s="33"/>
      <c r="D44" s="148"/>
    </row>
    <row r="45" spans="1:4" ht="12">
      <c r="A45" s="5" t="s">
        <v>13</v>
      </c>
      <c r="B45" s="59">
        <v>8.82</v>
      </c>
      <c r="C45" s="59">
        <v>8.82</v>
      </c>
      <c r="D45" s="149"/>
    </row>
    <row r="46" spans="1:4" ht="12">
      <c r="A46" s="5" t="s">
        <v>8</v>
      </c>
      <c r="B46" s="59">
        <v>8</v>
      </c>
      <c r="C46" s="59">
        <v>8</v>
      </c>
      <c r="D46" s="149"/>
    </row>
    <row r="47" spans="1:4" ht="12">
      <c r="A47" s="5" t="s">
        <v>9</v>
      </c>
      <c r="B47" s="59">
        <v>0</v>
      </c>
      <c r="C47" s="59">
        <v>0</v>
      </c>
      <c r="D47" s="149"/>
    </row>
    <row r="48" spans="1:4" ht="12">
      <c r="A48" s="5"/>
      <c r="B48" s="36"/>
      <c r="C48" s="36"/>
      <c r="D48" s="145"/>
    </row>
    <row r="49" spans="1:4" ht="12">
      <c r="A49" s="5" t="s">
        <v>14</v>
      </c>
      <c r="B49" s="64">
        <v>6977.85</v>
      </c>
      <c r="C49" s="64">
        <v>5781.99</v>
      </c>
      <c r="D49" s="146"/>
    </row>
    <row r="50" spans="1:4" ht="12.75" thickBot="1">
      <c r="A50" s="5"/>
      <c r="B50" s="153"/>
      <c r="C50" s="153"/>
      <c r="D50" s="148"/>
    </row>
    <row r="51" spans="1:4" ht="12.75" thickBot="1">
      <c r="A51" s="3" t="s">
        <v>15</v>
      </c>
      <c r="B51" s="58">
        <v>39262</v>
      </c>
      <c r="C51" s="58">
        <v>39293</v>
      </c>
      <c r="D51" s="144"/>
    </row>
    <row r="52" spans="1:4" ht="12">
      <c r="A52" s="5"/>
      <c r="B52" s="154"/>
      <c r="C52" s="154"/>
      <c r="D52" s="148"/>
    </row>
    <row r="53" spans="1:4" ht="12">
      <c r="A53" s="6" t="s">
        <v>16</v>
      </c>
      <c r="B53" s="33"/>
      <c r="C53" s="33"/>
      <c r="D53" s="148"/>
    </row>
    <row r="54" spans="1:4" ht="12">
      <c r="A54" s="5"/>
      <c r="B54" s="33"/>
      <c r="C54" s="33"/>
      <c r="D54" s="148"/>
    </row>
    <row r="55" spans="1:5" ht="12">
      <c r="A55" s="5" t="s">
        <v>17</v>
      </c>
      <c r="B55" s="63">
        <v>11.8</v>
      </c>
      <c r="C55" s="63">
        <v>16.18</v>
      </c>
      <c r="D55" s="150"/>
      <c r="E55" s="8"/>
    </row>
    <row r="56" spans="1:10" ht="12">
      <c r="A56" s="5" t="s">
        <v>18</v>
      </c>
      <c r="B56" s="62">
        <v>574.59</v>
      </c>
      <c r="C56" s="62">
        <v>740.2</v>
      </c>
      <c r="D56" s="151"/>
      <c r="E56" s="8"/>
      <c r="H56" s="9"/>
      <c r="J56" s="9"/>
    </row>
    <row r="57" spans="1:5" ht="12">
      <c r="A57" s="5" t="s">
        <v>19</v>
      </c>
      <c r="B57" s="62">
        <v>936.08</v>
      </c>
      <c r="C57" s="62">
        <v>936.41</v>
      </c>
      <c r="D57" s="151"/>
      <c r="E57" s="10"/>
    </row>
    <row r="58" spans="1:5" ht="12">
      <c r="A58" s="5" t="s">
        <v>20</v>
      </c>
      <c r="B58" s="62">
        <v>1287.88</v>
      </c>
      <c r="C58" s="62">
        <v>1227.52</v>
      </c>
      <c r="D58" s="151"/>
      <c r="E58" s="10"/>
    </row>
    <row r="59" spans="1:5" ht="12">
      <c r="A59" s="5" t="s">
        <v>21</v>
      </c>
      <c r="B59" s="62">
        <v>635.41</v>
      </c>
      <c r="C59" s="62">
        <v>585.42</v>
      </c>
      <c r="D59" s="151"/>
      <c r="E59" s="10"/>
    </row>
    <row r="60" spans="1:10" ht="12">
      <c r="A60" s="5" t="s">
        <v>22</v>
      </c>
      <c r="B60" s="62">
        <v>566.55</v>
      </c>
      <c r="C60" s="62">
        <v>571.63</v>
      </c>
      <c r="D60" s="151"/>
      <c r="E60" s="10"/>
      <c r="H60" s="9"/>
      <c r="J60" s="9"/>
    </row>
    <row r="61" spans="1:10" ht="12">
      <c r="A61" s="5" t="s">
        <v>23</v>
      </c>
      <c r="B61" s="62">
        <v>40.76</v>
      </c>
      <c r="C61" s="62">
        <v>26.51</v>
      </c>
      <c r="D61" s="151"/>
      <c r="E61" s="10"/>
      <c r="H61" s="9"/>
      <c r="J61" s="9"/>
    </row>
    <row r="62" spans="1:4" ht="12">
      <c r="A62" s="5" t="s">
        <v>24</v>
      </c>
      <c r="B62" s="62">
        <v>42.94</v>
      </c>
      <c r="C62" s="62">
        <v>41.75</v>
      </c>
      <c r="D62" s="151"/>
    </row>
    <row r="63" spans="1:4" ht="12">
      <c r="A63" s="5" t="s">
        <v>25</v>
      </c>
      <c r="B63" s="62">
        <v>2.23</v>
      </c>
      <c r="C63" s="62">
        <v>2.23</v>
      </c>
      <c r="D63" s="151"/>
    </row>
    <row r="64" spans="1:4" ht="12">
      <c r="A64" s="5"/>
      <c r="B64" s="33"/>
      <c r="C64" s="33"/>
      <c r="D64" s="148"/>
    </row>
    <row r="65" spans="1:4" ht="12">
      <c r="A65" s="6" t="s">
        <v>26</v>
      </c>
      <c r="B65" s="33"/>
      <c r="C65" s="33"/>
      <c r="D65" s="148"/>
    </row>
    <row r="66" spans="1:5" ht="12">
      <c r="A66" s="5"/>
      <c r="B66" s="33"/>
      <c r="C66" s="33"/>
      <c r="D66" s="148"/>
      <c r="E66" s="8"/>
    </row>
    <row r="67" spans="1:5" ht="12">
      <c r="A67" s="5" t="s">
        <v>17</v>
      </c>
      <c r="B67" s="36">
        <v>90.73</v>
      </c>
      <c r="C67" s="36">
        <v>127.65</v>
      </c>
      <c r="D67" s="145"/>
      <c r="E67" s="8"/>
    </row>
    <row r="68" spans="1:5" ht="12">
      <c r="A68" s="5" t="s">
        <v>18</v>
      </c>
      <c r="B68" s="36">
        <v>0.67</v>
      </c>
      <c r="C68" s="36">
        <v>0.82</v>
      </c>
      <c r="D68" s="145"/>
      <c r="E68" s="9"/>
    </row>
    <row r="69" spans="1:5" ht="12">
      <c r="A69" s="5" t="s">
        <v>19</v>
      </c>
      <c r="B69" s="36">
        <v>105.11</v>
      </c>
      <c r="C69" s="36">
        <v>107.88</v>
      </c>
      <c r="D69" s="145"/>
      <c r="E69" s="9"/>
    </row>
    <row r="70" spans="1:5" ht="12">
      <c r="A70" s="5" t="s">
        <v>20</v>
      </c>
      <c r="B70" s="64">
        <v>3.95</v>
      </c>
      <c r="C70" s="64">
        <v>4.04</v>
      </c>
      <c r="D70" s="146"/>
      <c r="E70" s="9"/>
    </row>
    <row r="71" spans="1:5" ht="12">
      <c r="A71" s="5" t="s">
        <v>21</v>
      </c>
      <c r="B71" s="36">
        <v>0</v>
      </c>
      <c r="C71" s="36">
        <v>0</v>
      </c>
      <c r="D71" s="145"/>
      <c r="E71" s="9"/>
    </row>
    <row r="72" spans="1:5" ht="12">
      <c r="A72" s="5" t="s">
        <v>22</v>
      </c>
      <c r="B72" s="36">
        <v>3.22</v>
      </c>
      <c r="C72" s="36">
        <v>3.29</v>
      </c>
      <c r="D72" s="145"/>
      <c r="E72" s="9"/>
    </row>
    <row r="73" spans="1:4" ht="12">
      <c r="A73" s="5" t="s">
        <v>23</v>
      </c>
      <c r="B73" s="36">
        <v>0.69</v>
      </c>
      <c r="C73" s="36">
        <v>0.72</v>
      </c>
      <c r="D73" s="145"/>
    </row>
    <row r="74" spans="1:4" ht="12">
      <c r="A74" s="5" t="s">
        <v>24</v>
      </c>
      <c r="B74" s="36">
        <v>0.03</v>
      </c>
      <c r="C74" s="36">
        <v>0.03</v>
      </c>
      <c r="D74" s="145"/>
    </row>
    <row r="75" spans="1:4" ht="12">
      <c r="A75" s="5" t="s">
        <v>25</v>
      </c>
      <c r="B75" s="36">
        <v>0</v>
      </c>
      <c r="C75" s="36">
        <v>0</v>
      </c>
      <c r="D75" s="145"/>
    </row>
    <row r="76" spans="1:4" ht="12.75" thickBot="1">
      <c r="A76" s="5"/>
      <c r="B76" s="155"/>
      <c r="C76" s="155"/>
      <c r="D76" s="145"/>
    </row>
    <row r="77" spans="1:4" ht="12.75" thickBot="1">
      <c r="A77" s="3" t="s">
        <v>106</v>
      </c>
      <c r="B77" s="58">
        <v>39262</v>
      </c>
      <c r="C77" s="58">
        <v>39293</v>
      </c>
      <c r="D77" s="144"/>
    </row>
    <row r="78" spans="1:4" ht="12">
      <c r="A78" s="5"/>
      <c r="B78" s="154"/>
      <c r="C78" s="154"/>
      <c r="D78" s="148"/>
    </row>
    <row r="79" spans="1:4" ht="12">
      <c r="A79" s="5"/>
      <c r="B79" s="33"/>
      <c r="C79" s="33"/>
      <c r="D79" s="148"/>
    </row>
    <row r="80" spans="1:4" ht="12">
      <c r="A80" s="5" t="s">
        <v>27</v>
      </c>
      <c r="B80" s="60">
        <v>7</v>
      </c>
      <c r="C80" s="60">
        <v>7.2</v>
      </c>
      <c r="D80" s="152"/>
    </row>
    <row r="81" spans="1:4" ht="12">
      <c r="A81" s="5" t="s">
        <v>28</v>
      </c>
      <c r="B81" s="143">
        <v>3.4</v>
      </c>
      <c r="C81" s="143">
        <v>4.3</v>
      </c>
      <c r="D81" s="152"/>
    </row>
    <row r="82" spans="1:4" ht="12.75" thickBot="1">
      <c r="A82" s="11" t="s">
        <v>29</v>
      </c>
      <c r="B82" s="66">
        <v>0.3</v>
      </c>
      <c r="C82" s="66">
        <v>0.9</v>
      </c>
      <c r="D82" s="152"/>
    </row>
    <row r="83" ht="12">
      <c r="A83" s="2" t="s">
        <v>151</v>
      </c>
    </row>
    <row r="84" ht="12">
      <c r="A84" s="2" t="s">
        <v>165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4"/>
  <sheetViews>
    <sheetView showGridLines="0" zoomScale="70" zoomScaleNormal="70" zoomScaleSheetLayoutView="75" zoomScalePageLayoutView="0" workbookViewId="0" topLeftCell="B64">
      <selection activeCell="B10" sqref="B10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241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3:13" ht="15.75"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7" ht="15.75">
      <c r="A4" s="15"/>
      <c r="B4" s="15"/>
      <c r="C4" s="240" t="s">
        <v>153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15"/>
      <c r="O4" s="15"/>
      <c r="P4" s="15"/>
      <c r="Q4" s="15"/>
    </row>
    <row r="5" spans="1:17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15"/>
      <c r="M6" s="15"/>
      <c r="N6" s="15"/>
      <c r="O6" s="15"/>
      <c r="P6" s="15"/>
      <c r="Q6" s="15"/>
    </row>
    <row r="7" spans="1:17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21"/>
      <c r="P7" s="15"/>
      <c r="Q7" s="15"/>
    </row>
    <row r="8" spans="1:17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15"/>
      <c r="C26" s="213" t="s">
        <v>146</v>
      </c>
      <c r="D26" s="130"/>
      <c r="E26" s="12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/>
      <c r="B27" s="16"/>
      <c r="C27" s="120"/>
      <c r="D27" s="121"/>
      <c r="E27" s="12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40" t="s">
        <v>154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15"/>
      <c r="M30" s="15"/>
      <c r="N30" s="15"/>
      <c r="O30" s="15"/>
      <c r="P30" s="15"/>
      <c r="Q30" s="15"/>
    </row>
    <row r="31" spans="1:17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5"/>
      <c r="B52" s="16"/>
      <c r="D52" s="13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">
      <c r="A54" s="15"/>
      <c r="B54" s="16"/>
      <c r="C54" s="212" t="s">
        <v>145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2:17" ht="15">
      <c r="L55" s="15"/>
      <c r="M55" s="15"/>
      <c r="N55" s="15"/>
      <c r="O55" s="15"/>
      <c r="P55" s="15"/>
      <c r="Q55" s="15"/>
    </row>
    <row r="56" spans="1:17" ht="15">
      <c r="A56" s="15"/>
      <c r="B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15"/>
      <c r="B58" s="15"/>
      <c r="C58" s="239" t="s">
        <v>155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ht="15">
      <c r="B75" s="16"/>
    </row>
    <row r="78" ht="15">
      <c r="B78" s="16"/>
    </row>
    <row r="79" spans="4:6" ht="11.25">
      <c r="D79" s="131"/>
      <c r="E79" s="131"/>
      <c r="F79" s="131"/>
    </row>
    <row r="81" spans="3:6" ht="15">
      <c r="C81" s="212" t="s">
        <v>147</v>
      </c>
      <c r="D81" s="214"/>
      <c r="E81" s="214"/>
      <c r="F81" s="214"/>
    </row>
    <row r="84" ht="15">
      <c r="C84" s="16"/>
    </row>
  </sheetData>
  <sheetProtection/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D21"/>
  <sheetViews>
    <sheetView showGridLines="0" zoomScaleSheetLayoutView="75" zoomScalePageLayoutView="0" workbookViewId="0" topLeftCell="A3">
      <pane xSplit="30" ySplit="2" topLeftCell="AR5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22" sqref="B22"/>
    </sheetView>
  </sheetViews>
  <sheetFormatPr defaultColWidth="9.140625" defaultRowHeight="19.5" customHeight="1"/>
  <cols>
    <col min="1" max="1" width="4.7109375" style="34" customWidth="1"/>
    <col min="2" max="2" width="57.8515625" style="34" customWidth="1"/>
    <col min="3" max="7" width="9.8515625" style="34" hidden="1" customWidth="1"/>
    <col min="8" max="8" width="11.28125" style="34" hidden="1" customWidth="1"/>
    <col min="9" max="9" width="11.8515625" style="34" hidden="1" customWidth="1"/>
    <col min="10" max="11" width="9.8515625" style="34" hidden="1" customWidth="1"/>
    <col min="12" max="12" width="11.140625" style="34" hidden="1" customWidth="1"/>
    <col min="13" max="13" width="11.421875" style="34" hidden="1" customWidth="1"/>
    <col min="14" max="14" width="11.00390625" style="34" hidden="1" customWidth="1"/>
    <col min="15" max="15" width="10.140625" style="34" hidden="1" customWidth="1"/>
    <col min="16" max="16" width="9.8515625" style="34" hidden="1" customWidth="1"/>
    <col min="17" max="17" width="11.28125" style="34" hidden="1" customWidth="1"/>
    <col min="18" max="18" width="10.7109375" style="34" hidden="1" customWidth="1"/>
    <col min="19" max="19" width="11.00390625" style="34" hidden="1" customWidth="1"/>
    <col min="20" max="20" width="14.7109375" style="34" hidden="1" customWidth="1"/>
    <col min="21" max="21" width="2.00390625" style="34" hidden="1" customWidth="1"/>
    <col min="22" max="22" width="10.421875" style="34" hidden="1" customWidth="1"/>
    <col min="23" max="23" width="9.8515625" style="34" hidden="1" customWidth="1"/>
    <col min="24" max="24" width="9.421875" style="34" hidden="1" customWidth="1"/>
    <col min="25" max="25" width="11.28125" style="34" hidden="1" customWidth="1"/>
    <col min="26" max="26" width="10.421875" style="34" hidden="1" customWidth="1"/>
    <col min="27" max="27" width="10.8515625" style="34" hidden="1" customWidth="1"/>
    <col min="28" max="28" width="11.00390625" style="34" hidden="1" customWidth="1"/>
    <col min="29" max="29" width="11.7109375" style="34" hidden="1" customWidth="1"/>
    <col min="30" max="30" width="9.8515625" style="34" hidden="1" customWidth="1"/>
    <col min="31" max="31" width="10.8515625" style="34" hidden="1" customWidth="1"/>
    <col min="32" max="32" width="11.8515625" style="34" hidden="1" customWidth="1"/>
    <col min="33" max="33" width="12.140625" style="34" hidden="1" customWidth="1"/>
    <col min="34" max="34" width="11.421875" style="34" hidden="1" customWidth="1"/>
    <col min="35" max="35" width="11.140625" style="34" hidden="1" customWidth="1"/>
    <col min="36" max="36" width="10.8515625" style="34" hidden="1" customWidth="1"/>
    <col min="37" max="40" width="10.421875" style="34" hidden="1" customWidth="1"/>
    <col min="41" max="41" width="11.421875" style="34" hidden="1" customWidth="1"/>
    <col min="42" max="43" width="11.00390625" style="34" hidden="1" customWidth="1"/>
    <col min="44" max="44" width="11.00390625" style="34" customWidth="1"/>
    <col min="45" max="48" width="12.7109375" style="34" customWidth="1"/>
    <col min="49" max="49" width="11.421875" style="34" customWidth="1"/>
    <col min="50" max="50" width="10.7109375" style="34" customWidth="1"/>
    <col min="51" max="52" width="11.8515625" style="34" customWidth="1"/>
    <col min="53" max="53" width="11.28125" style="34" customWidth="1"/>
    <col min="54" max="54" width="11.421875" style="34" customWidth="1"/>
    <col min="55" max="55" width="10.421875" style="34" customWidth="1"/>
    <col min="56" max="56" width="11.00390625" style="34" customWidth="1"/>
    <col min="57" max="16384" width="9.140625" style="34" customWidth="1"/>
  </cols>
  <sheetData>
    <row r="1" ht="19.5" customHeight="1" thickBot="1"/>
    <row r="2" spans="2:48" ht="19.5" customHeight="1">
      <c r="B2" s="73" t="s">
        <v>142</v>
      </c>
      <c r="C2" s="74"/>
      <c r="D2" s="74"/>
      <c r="E2" s="74"/>
      <c r="F2" s="75"/>
      <c r="G2" s="76"/>
      <c r="H2" s="75"/>
      <c r="I2" s="76"/>
      <c r="J2" s="76"/>
      <c r="K2" s="75"/>
      <c r="L2" s="75"/>
      <c r="M2" s="77"/>
      <c r="N2" s="76"/>
      <c r="O2" s="78"/>
      <c r="P2" s="76"/>
      <c r="Q2" s="75"/>
      <c r="R2" s="76"/>
      <c r="S2" s="76"/>
      <c r="T2" s="79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56" ht="19.5" customHeight="1" thickBot="1">
      <c r="A3" s="47"/>
      <c r="B3" s="221"/>
      <c r="C3" s="221"/>
      <c r="D3" s="221"/>
      <c r="E3" s="221"/>
      <c r="F3" s="222"/>
      <c r="G3" s="222"/>
      <c r="H3" s="222"/>
      <c r="I3" s="223"/>
      <c r="J3" s="223"/>
      <c r="K3" s="222"/>
      <c r="L3" s="222"/>
      <c r="M3" s="223"/>
      <c r="N3" s="223"/>
      <c r="O3" s="224"/>
      <c r="P3" s="223"/>
      <c r="Q3" s="222"/>
      <c r="R3" s="223"/>
      <c r="S3" s="223"/>
      <c r="T3" s="225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47"/>
      <c r="AX3" s="47"/>
      <c r="AY3" s="47"/>
      <c r="AZ3" s="47"/>
      <c r="BA3" s="47"/>
      <c r="BB3" s="47"/>
      <c r="BC3" s="47"/>
      <c r="BD3" s="47"/>
    </row>
    <row r="4" spans="2:56" ht="19.5" customHeight="1">
      <c r="B4" s="218"/>
      <c r="C4" s="219">
        <v>37655</v>
      </c>
      <c r="D4" s="219">
        <v>37681</v>
      </c>
      <c r="E4" s="219">
        <v>37712</v>
      </c>
      <c r="F4" s="219">
        <v>37742</v>
      </c>
      <c r="G4" s="219">
        <v>37773</v>
      </c>
      <c r="H4" s="219">
        <v>37803</v>
      </c>
      <c r="I4" s="219">
        <v>37834</v>
      </c>
      <c r="J4" s="219">
        <v>37865</v>
      </c>
      <c r="K4" s="219">
        <v>37895</v>
      </c>
      <c r="L4" s="219">
        <v>37926</v>
      </c>
      <c r="M4" s="219">
        <v>37956</v>
      </c>
      <c r="N4" s="219">
        <v>37987</v>
      </c>
      <c r="O4" s="220">
        <v>38018</v>
      </c>
      <c r="P4" s="219">
        <v>38047</v>
      </c>
      <c r="Q4" s="219">
        <v>38078</v>
      </c>
      <c r="R4" s="219">
        <v>38108</v>
      </c>
      <c r="S4" s="219">
        <v>38139</v>
      </c>
      <c r="T4" s="219">
        <v>38169</v>
      </c>
      <c r="U4" s="219">
        <v>38200</v>
      </c>
      <c r="V4" s="219">
        <v>38231</v>
      </c>
      <c r="W4" s="219">
        <v>38261</v>
      </c>
      <c r="X4" s="219">
        <v>38292</v>
      </c>
      <c r="Y4" s="219">
        <v>38322</v>
      </c>
      <c r="Z4" s="219">
        <v>38353</v>
      </c>
      <c r="AA4" s="219">
        <v>38384</v>
      </c>
      <c r="AB4" s="219">
        <v>38412</v>
      </c>
      <c r="AC4" s="219">
        <v>38443</v>
      </c>
      <c r="AD4" s="219">
        <v>38473</v>
      </c>
      <c r="AE4" s="219">
        <v>38504</v>
      </c>
      <c r="AF4" s="219">
        <v>38534</v>
      </c>
      <c r="AG4" s="219">
        <v>38565</v>
      </c>
      <c r="AH4" s="219">
        <v>38596</v>
      </c>
      <c r="AI4" s="219">
        <v>38626</v>
      </c>
      <c r="AJ4" s="219">
        <v>38657</v>
      </c>
      <c r="AK4" s="219">
        <v>38687</v>
      </c>
      <c r="AL4" s="219">
        <v>38718</v>
      </c>
      <c r="AM4" s="219">
        <v>38749</v>
      </c>
      <c r="AN4" s="219">
        <v>38777</v>
      </c>
      <c r="AO4" s="219">
        <v>38808</v>
      </c>
      <c r="AP4" s="219">
        <v>38838</v>
      </c>
      <c r="AQ4" s="219">
        <v>38869</v>
      </c>
      <c r="AR4" s="219">
        <v>38929</v>
      </c>
      <c r="AS4" s="219">
        <v>38960</v>
      </c>
      <c r="AT4" s="219">
        <v>38990</v>
      </c>
      <c r="AU4" s="219">
        <v>39021</v>
      </c>
      <c r="AV4" s="219">
        <v>39051</v>
      </c>
      <c r="AW4" s="219">
        <v>39082</v>
      </c>
      <c r="AX4" s="219">
        <v>39113</v>
      </c>
      <c r="AY4" s="219">
        <v>39141</v>
      </c>
      <c r="AZ4" s="219">
        <v>39172</v>
      </c>
      <c r="BA4" s="219">
        <v>39202</v>
      </c>
      <c r="BB4" s="219">
        <v>39233</v>
      </c>
      <c r="BC4" s="219">
        <v>39263</v>
      </c>
      <c r="BD4" s="219">
        <v>39294</v>
      </c>
    </row>
    <row r="5" spans="1:56" ht="19.5" customHeight="1">
      <c r="A5" s="118"/>
      <c r="B5" s="86" t="s">
        <v>108</v>
      </c>
      <c r="C5" s="87"/>
      <c r="D5" s="87"/>
      <c r="E5" s="88"/>
      <c r="F5" s="89"/>
      <c r="G5" s="89"/>
      <c r="H5" s="89"/>
      <c r="I5" s="89"/>
      <c r="J5" s="89"/>
      <c r="K5" s="89"/>
      <c r="L5" s="89"/>
      <c r="M5" s="90"/>
      <c r="N5" s="89"/>
      <c r="O5" s="91"/>
      <c r="P5" s="92"/>
      <c r="Q5" s="89"/>
      <c r="R5" s="92"/>
      <c r="S5" s="92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</row>
    <row r="6" spans="1:56" ht="19.5" customHeight="1">
      <c r="A6" s="119"/>
      <c r="B6" s="86"/>
      <c r="C6" s="87"/>
      <c r="D6" s="87"/>
      <c r="E6" s="88"/>
      <c r="F6" s="89"/>
      <c r="G6" s="89"/>
      <c r="H6" s="89"/>
      <c r="I6" s="89"/>
      <c r="J6" s="89"/>
      <c r="K6" s="89"/>
      <c r="L6" s="89"/>
      <c r="M6" s="90"/>
      <c r="N6" s="89"/>
      <c r="O6" s="91"/>
      <c r="P6" s="92"/>
      <c r="Q6" s="89"/>
      <c r="R6" s="92"/>
      <c r="S6" s="92"/>
      <c r="T6" s="93"/>
      <c r="U6" s="92"/>
      <c r="V6" s="92"/>
      <c r="W6" s="92"/>
      <c r="X6" s="92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</row>
    <row r="7" spans="2:56" ht="19.5" customHeight="1">
      <c r="B7" s="86" t="s">
        <v>160</v>
      </c>
      <c r="C7" s="94">
        <v>2595.44027685</v>
      </c>
      <c r="D7" s="94">
        <v>2187.8368766900003</v>
      </c>
      <c r="E7" s="94">
        <v>2272.4872471500003</v>
      </c>
      <c r="F7" s="95">
        <v>2113.36340838</v>
      </c>
      <c r="G7" s="95">
        <v>2165.8</v>
      </c>
      <c r="H7" s="96">
        <v>2129.6</v>
      </c>
      <c r="I7" s="89">
        <v>1891</v>
      </c>
      <c r="J7" s="95">
        <v>2181.2</v>
      </c>
      <c r="K7" s="95">
        <v>2467.9</v>
      </c>
      <c r="L7" s="95">
        <v>2091</v>
      </c>
      <c r="M7" s="97">
        <v>2110.3</v>
      </c>
      <c r="N7" s="95">
        <v>2710.8702829799995</v>
      </c>
      <c r="O7" s="98">
        <v>1935.4129830699999</v>
      </c>
      <c r="P7" s="99">
        <v>1824.1042653499997</v>
      </c>
      <c r="Q7" s="89">
        <v>2395.6</v>
      </c>
      <c r="R7" s="89">
        <v>1860.4</v>
      </c>
      <c r="S7" s="89">
        <v>1783.2</v>
      </c>
      <c r="T7" s="89">
        <v>1984.6</v>
      </c>
      <c r="U7" s="89">
        <v>1989.9</v>
      </c>
      <c r="V7" s="89">
        <v>1808.2</v>
      </c>
      <c r="W7" s="89">
        <v>2207.6</v>
      </c>
      <c r="X7" s="89">
        <v>1987.9</v>
      </c>
      <c r="Y7" s="89">
        <v>1977.3</v>
      </c>
      <c r="Z7" s="89">
        <v>2327.5</v>
      </c>
      <c r="AA7" s="89">
        <v>2029.5</v>
      </c>
      <c r="AB7" s="89">
        <v>1912.6</v>
      </c>
      <c r="AC7" s="89">
        <v>2303.8</v>
      </c>
      <c r="AD7" s="89">
        <v>2107.1</v>
      </c>
      <c r="AE7" s="89">
        <v>1874.1</v>
      </c>
      <c r="AF7" s="89">
        <v>2354.7</v>
      </c>
      <c r="AG7" s="89">
        <v>2159.1</v>
      </c>
      <c r="AH7" s="89">
        <v>1818.2</v>
      </c>
      <c r="AI7" s="95">
        <v>2245</v>
      </c>
      <c r="AJ7" s="95">
        <v>1902.22246</v>
      </c>
      <c r="AK7" s="95">
        <v>1983.9</v>
      </c>
      <c r="AL7" s="95">
        <v>2705.5</v>
      </c>
      <c r="AM7" s="95">
        <v>2696</v>
      </c>
      <c r="AN7" s="95">
        <v>2458.1</v>
      </c>
      <c r="AO7" s="95">
        <v>3129.7</v>
      </c>
      <c r="AP7" s="95">
        <v>2973</v>
      </c>
      <c r="AQ7" s="95">
        <v>2677.9</v>
      </c>
      <c r="AR7" s="95">
        <v>3313.1</v>
      </c>
      <c r="AS7" s="95">
        <v>2760.7</v>
      </c>
      <c r="AT7" s="95">
        <v>3119.2</v>
      </c>
      <c r="AU7" s="95">
        <v>4104.4</v>
      </c>
      <c r="AV7" s="95">
        <v>3495.2</v>
      </c>
      <c r="AW7" s="95">
        <v>3164.3</v>
      </c>
      <c r="AX7" s="95">
        <v>4865.6</v>
      </c>
      <c r="AY7" s="95">
        <v>4466.4</v>
      </c>
      <c r="AZ7" s="95">
        <v>5690</v>
      </c>
      <c r="BA7" s="95">
        <v>6260.1</v>
      </c>
      <c r="BB7" s="95">
        <v>5643.8</v>
      </c>
      <c r="BC7" s="96">
        <v>6085.3</v>
      </c>
      <c r="BD7" s="96">
        <v>7455.9</v>
      </c>
    </row>
    <row r="8" spans="2:56" ht="19.5" customHeight="1">
      <c r="B8" s="86" t="s">
        <v>30</v>
      </c>
      <c r="C8" s="100"/>
      <c r="D8" s="100">
        <f>D7-C7</f>
        <v>-407.60340015999964</v>
      </c>
      <c r="E8" s="100">
        <f>E7-D7</f>
        <v>84.65037045999998</v>
      </c>
      <c r="F8" s="100">
        <f>F7-E7</f>
        <v>-159.12383877000048</v>
      </c>
      <c r="G8" s="100">
        <f aca="true" t="shared" si="0" ref="G8:AG8">G7-F7</f>
        <v>52.4365916200004</v>
      </c>
      <c r="H8" s="100">
        <f t="shared" si="0"/>
        <v>-36.20000000000027</v>
      </c>
      <c r="I8" s="100">
        <f t="shared" si="0"/>
        <v>-238.5999999999999</v>
      </c>
      <c r="J8" s="100">
        <f t="shared" si="0"/>
        <v>290.1999999999998</v>
      </c>
      <c r="K8" s="100">
        <f t="shared" si="0"/>
        <v>286.7000000000003</v>
      </c>
      <c r="L8" s="100">
        <f t="shared" si="0"/>
        <v>-376.9000000000001</v>
      </c>
      <c r="M8" s="100">
        <f t="shared" si="0"/>
        <v>19.300000000000182</v>
      </c>
      <c r="N8" s="100">
        <f t="shared" si="0"/>
        <v>600.5702829799993</v>
      </c>
      <c r="O8" s="101">
        <f t="shared" si="0"/>
        <v>-775.4572999099996</v>
      </c>
      <c r="P8" s="96">
        <f t="shared" si="0"/>
        <v>-111.30871772000023</v>
      </c>
      <c r="Q8" s="96">
        <f t="shared" si="0"/>
        <v>571.4957346500003</v>
      </c>
      <c r="R8" s="96">
        <f t="shared" si="0"/>
        <v>-535.1999999999998</v>
      </c>
      <c r="S8" s="96">
        <f t="shared" si="0"/>
        <v>-77.20000000000005</v>
      </c>
      <c r="T8" s="96">
        <f t="shared" si="0"/>
        <v>201.39999999999986</v>
      </c>
      <c r="U8" s="96">
        <f t="shared" si="0"/>
        <v>5.300000000000182</v>
      </c>
      <c r="V8" s="96">
        <f t="shared" si="0"/>
        <v>-181.70000000000005</v>
      </c>
      <c r="W8" s="96">
        <f t="shared" si="0"/>
        <v>399.39999999999986</v>
      </c>
      <c r="X8" s="96">
        <f t="shared" si="0"/>
        <v>-219.69999999999982</v>
      </c>
      <c r="Y8" s="96">
        <f t="shared" si="0"/>
        <v>-10.600000000000136</v>
      </c>
      <c r="Z8" s="96">
        <f t="shared" si="0"/>
        <v>350.20000000000005</v>
      </c>
      <c r="AA8" s="96">
        <f t="shared" si="0"/>
        <v>-298</v>
      </c>
      <c r="AB8" s="96">
        <f t="shared" si="0"/>
        <v>-116.90000000000009</v>
      </c>
      <c r="AC8" s="96">
        <f t="shared" si="0"/>
        <v>391.2000000000003</v>
      </c>
      <c r="AD8" s="96">
        <f t="shared" si="0"/>
        <v>-196.70000000000027</v>
      </c>
      <c r="AE8" s="96">
        <f t="shared" si="0"/>
        <v>-233</v>
      </c>
      <c r="AF8" s="96">
        <f t="shared" si="0"/>
        <v>480.5999999999999</v>
      </c>
      <c r="AG8" s="96">
        <f t="shared" si="0"/>
        <v>-195.5999999999999</v>
      </c>
      <c r="AH8" s="96">
        <f aca="true" t="shared" si="1" ref="AH8:BD8">AH7-AG7</f>
        <v>-340.89999999999986</v>
      </c>
      <c r="AI8" s="96">
        <f t="shared" si="1"/>
        <v>426.79999999999995</v>
      </c>
      <c r="AJ8" s="96">
        <f t="shared" si="1"/>
        <v>-342.77754000000004</v>
      </c>
      <c r="AK8" s="96">
        <f t="shared" si="1"/>
        <v>81.67754000000014</v>
      </c>
      <c r="AL8" s="96">
        <f t="shared" si="1"/>
        <v>721.5999999999999</v>
      </c>
      <c r="AM8" s="96">
        <f t="shared" si="1"/>
        <v>-9.5</v>
      </c>
      <c r="AN8" s="96">
        <f t="shared" si="1"/>
        <v>-237.9000000000001</v>
      </c>
      <c r="AO8" s="96">
        <f t="shared" si="1"/>
        <v>671.5999999999999</v>
      </c>
      <c r="AP8" s="96">
        <f t="shared" si="1"/>
        <v>-156.69999999999982</v>
      </c>
      <c r="AQ8" s="96">
        <f t="shared" si="1"/>
        <v>-295.0999999999999</v>
      </c>
      <c r="AR8" s="96">
        <f t="shared" si="1"/>
        <v>635.1999999999998</v>
      </c>
      <c r="AS8" s="96">
        <f t="shared" si="1"/>
        <v>-552.4000000000001</v>
      </c>
      <c r="AT8" s="96">
        <f t="shared" si="1"/>
        <v>358.5</v>
      </c>
      <c r="AU8" s="96">
        <f t="shared" si="1"/>
        <v>985.1999999999998</v>
      </c>
      <c r="AV8" s="96">
        <f t="shared" si="1"/>
        <v>-609.1999999999998</v>
      </c>
      <c r="AW8" s="96">
        <f t="shared" si="1"/>
        <v>-330.89999999999964</v>
      </c>
      <c r="AX8" s="96">
        <f t="shared" si="1"/>
        <v>1701.3000000000002</v>
      </c>
      <c r="AY8" s="96">
        <f t="shared" si="1"/>
        <v>-399.2000000000007</v>
      </c>
      <c r="AZ8" s="96">
        <f t="shared" si="1"/>
        <v>1223.6000000000004</v>
      </c>
      <c r="BA8" s="96">
        <f t="shared" si="1"/>
        <v>570.1000000000004</v>
      </c>
      <c r="BB8" s="96">
        <f t="shared" si="1"/>
        <v>-616.3000000000002</v>
      </c>
      <c r="BC8" s="96">
        <f t="shared" si="1"/>
        <v>441.5</v>
      </c>
      <c r="BD8" s="96">
        <f t="shared" si="1"/>
        <v>1370.5999999999995</v>
      </c>
    </row>
    <row r="9" spans="2:56" ht="19.5" customHeight="1">
      <c r="B9" s="86"/>
      <c r="C9" s="87"/>
      <c r="D9" s="87"/>
      <c r="E9" s="87"/>
      <c r="F9" s="89"/>
      <c r="G9" s="89"/>
      <c r="H9" s="89"/>
      <c r="I9" s="89"/>
      <c r="J9" s="89"/>
      <c r="K9" s="89"/>
      <c r="L9" s="89"/>
      <c r="M9" s="90"/>
      <c r="N9" s="89"/>
      <c r="O9" s="91"/>
      <c r="P9" s="92"/>
      <c r="Q9" s="89"/>
      <c r="R9" s="92"/>
      <c r="S9" s="92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</row>
    <row r="10" spans="2:56" ht="19.5" customHeight="1">
      <c r="B10" s="86" t="s">
        <v>44</v>
      </c>
      <c r="C10" s="87"/>
      <c r="D10" s="87"/>
      <c r="E10" s="87"/>
      <c r="F10" s="89"/>
      <c r="G10" s="89"/>
      <c r="H10" s="89"/>
      <c r="I10" s="89"/>
      <c r="J10" s="89"/>
      <c r="K10" s="89"/>
      <c r="L10" s="89"/>
      <c r="M10" s="90"/>
      <c r="N10" s="89"/>
      <c r="O10" s="91"/>
      <c r="P10" s="92"/>
      <c r="Q10" s="89"/>
      <c r="R10" s="92"/>
      <c r="S10" s="92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</row>
    <row r="11" spans="2:56" ht="19.5" customHeight="1">
      <c r="B11" s="86"/>
      <c r="C11" s="87"/>
      <c r="D11" s="87"/>
      <c r="E11" s="87"/>
      <c r="F11" s="89"/>
      <c r="G11" s="89"/>
      <c r="H11" s="89"/>
      <c r="I11" s="89"/>
      <c r="J11" s="89"/>
      <c r="K11" s="89"/>
      <c r="L11" s="89"/>
      <c r="M11" s="90"/>
      <c r="N11" s="89"/>
      <c r="O11" s="91"/>
      <c r="P11" s="92"/>
      <c r="Q11" s="89"/>
      <c r="R11" s="92"/>
      <c r="S11" s="92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</row>
    <row r="12" spans="2:56" ht="19.5" customHeight="1">
      <c r="B12" s="86" t="s">
        <v>31</v>
      </c>
      <c r="C12" s="87"/>
      <c r="D12" s="87">
        <v>8.0439</v>
      </c>
      <c r="E12" s="87">
        <v>7.7068</v>
      </c>
      <c r="F12" s="102">
        <v>7.6652</v>
      </c>
      <c r="G12" s="102">
        <v>7.9027</v>
      </c>
      <c r="H12" s="102">
        <v>7.5401</v>
      </c>
      <c r="I12" s="89">
        <v>7.3922</v>
      </c>
      <c r="J12" s="89">
        <v>7.3246</v>
      </c>
      <c r="K12" s="89">
        <v>6.9637</v>
      </c>
      <c r="L12" s="89">
        <v>6.7287</v>
      </c>
      <c r="M12" s="90">
        <v>6.5159</v>
      </c>
      <c r="N12" s="89">
        <v>6.9179</v>
      </c>
      <c r="O12" s="90">
        <v>6.7686</v>
      </c>
      <c r="P12" s="89">
        <v>6.6633</v>
      </c>
      <c r="Q12" s="89">
        <v>6.5537</v>
      </c>
      <c r="R12" s="89">
        <v>6.7821</v>
      </c>
      <c r="S12" s="89">
        <v>6.4381</v>
      </c>
      <c r="T12" s="103">
        <v>6.1287</v>
      </c>
      <c r="U12" s="89">
        <v>6.4575</v>
      </c>
      <c r="V12" s="89">
        <v>6.5469</v>
      </c>
      <c r="W12" s="89">
        <v>6.3876</v>
      </c>
      <c r="X12" s="89">
        <v>6.0558</v>
      </c>
      <c r="Y12" s="89">
        <v>5.7323</v>
      </c>
      <c r="Z12" s="89">
        <v>5.9698</v>
      </c>
      <c r="AA12" s="89">
        <v>6.0161</v>
      </c>
      <c r="AB12" s="89">
        <v>6.323</v>
      </c>
      <c r="AC12" s="89">
        <v>6.1521</v>
      </c>
      <c r="AD12" s="89">
        <v>6.3314</v>
      </c>
      <c r="AE12" s="103">
        <v>6.75</v>
      </c>
      <c r="AF12" s="103">
        <v>6.7035</v>
      </c>
      <c r="AG12" s="103">
        <v>6.465</v>
      </c>
      <c r="AH12" s="103">
        <v>6.3578</v>
      </c>
      <c r="AI12" s="103">
        <v>6.5766</v>
      </c>
      <c r="AJ12" s="103">
        <v>6.521</v>
      </c>
      <c r="AK12" s="103">
        <v>6.3591</v>
      </c>
      <c r="AL12" s="103">
        <v>6.0891</v>
      </c>
      <c r="AM12" s="103">
        <v>6.1177</v>
      </c>
      <c r="AN12" s="103">
        <v>6.2544</v>
      </c>
      <c r="AO12" s="103">
        <v>6.072</v>
      </c>
      <c r="AP12" s="103">
        <v>6.3199</v>
      </c>
      <c r="AQ12" s="103">
        <v>6.9549</v>
      </c>
      <c r="AR12" s="103">
        <v>7.0843</v>
      </c>
      <c r="AS12" s="103">
        <v>6.9553</v>
      </c>
      <c r="AT12" s="103">
        <v>7.4098</v>
      </c>
      <c r="AU12" s="103">
        <v>7.6492</v>
      </c>
      <c r="AV12" s="103">
        <v>7.2586</v>
      </c>
      <c r="AW12" s="103">
        <v>7.0406</v>
      </c>
      <c r="AX12" s="103">
        <v>7.1838</v>
      </c>
      <c r="AY12" s="103">
        <v>7.1698</v>
      </c>
      <c r="AZ12" s="103">
        <v>7.3514</v>
      </c>
      <c r="BA12" s="103">
        <v>7.1216</v>
      </c>
      <c r="BB12" s="103">
        <v>7.0187</v>
      </c>
      <c r="BC12" s="103">
        <v>7.1718</v>
      </c>
      <c r="BD12" s="103">
        <v>6.973</v>
      </c>
    </row>
    <row r="13" spans="2:56" ht="19.5" customHeight="1">
      <c r="B13" s="86" t="s">
        <v>32</v>
      </c>
      <c r="C13" s="104"/>
      <c r="D13" s="104">
        <f>1/8.0439</f>
        <v>0.124317806039359</v>
      </c>
      <c r="E13" s="104">
        <f>1/7.7068</f>
        <v>0.12975554056158198</v>
      </c>
      <c r="F13" s="105">
        <f>1/7.6652</f>
        <v>0.13045974012419767</v>
      </c>
      <c r="G13" s="105">
        <f>1/7.9027</f>
        <v>0.12653903096410088</v>
      </c>
      <c r="H13" s="105">
        <f>1/7.5401</f>
        <v>0.1326242357528415</v>
      </c>
      <c r="I13" s="105">
        <f>1/7.3922</f>
        <v>0.13527772516977354</v>
      </c>
      <c r="J13" s="105">
        <f>1/7.3246</f>
        <v>0.1365262266881468</v>
      </c>
      <c r="K13" s="105">
        <f>1/6.9637</f>
        <v>0.14360182087108864</v>
      </c>
      <c r="L13" s="105">
        <f>1/6.7287</f>
        <v>0.14861711771961894</v>
      </c>
      <c r="M13" s="105">
        <f>1/6.5159</f>
        <v>0.15347074080326586</v>
      </c>
      <c r="N13" s="105">
        <f>1/6.9179</f>
        <v>0.14455253761979792</v>
      </c>
      <c r="O13" s="106">
        <f>1/6.7686</f>
        <v>0.14774103950595396</v>
      </c>
      <c r="P13" s="105">
        <f>1/6.6633</f>
        <v>0.1500757882730779</v>
      </c>
      <c r="Q13" s="105">
        <f>1/6.5537</f>
        <v>0.15258556235409004</v>
      </c>
      <c r="R13" s="105">
        <f>1/6.7821</f>
        <v>0.14744695595759427</v>
      </c>
      <c r="S13" s="105">
        <f>1/6.4381</f>
        <v>0.15532532890138395</v>
      </c>
      <c r="T13" s="105">
        <f>1/6.1287</f>
        <v>0.1631667400916997</v>
      </c>
      <c r="U13" s="105">
        <f>1/6.4575</f>
        <v>0.1548586914440573</v>
      </c>
      <c r="V13" s="105">
        <f>1/6.5469</f>
        <v>0.15274404680077594</v>
      </c>
      <c r="W13" s="105">
        <f>1/6.3876</f>
        <v>0.15655332206149414</v>
      </c>
      <c r="X13" s="105">
        <f>1/6.0558</f>
        <v>0.16513094884243207</v>
      </c>
      <c r="Y13" s="105">
        <f>1/5.7323</f>
        <v>0.17445004622926225</v>
      </c>
      <c r="Z13" s="105">
        <f>1/5.9698</f>
        <v>0.1675097993232604</v>
      </c>
      <c r="AA13" s="105">
        <f>1/6.0161</f>
        <v>0.16622064127923405</v>
      </c>
      <c r="AB13" s="105">
        <f>1/6.0101</f>
        <v>0.16638658258598024</v>
      </c>
      <c r="AC13" s="105">
        <f>1/6.1521</f>
        <v>0.16254612246224867</v>
      </c>
      <c r="AD13" s="105">
        <f>1/6.3314</f>
        <v>0.1579429510060966</v>
      </c>
      <c r="AE13" s="105">
        <f>1/6.75</f>
        <v>0.14814814814814814</v>
      </c>
      <c r="AF13" s="105">
        <f>1/6.7035</f>
        <v>0.14917580368464234</v>
      </c>
      <c r="AG13" s="105">
        <f>1/6.465</f>
        <v>0.15467904098994587</v>
      </c>
      <c r="AH13" s="105">
        <f>1/6.3578</f>
        <v>0.1572871118940514</v>
      </c>
      <c r="AI13" s="105">
        <f>1/6.5766</f>
        <v>0.15205425295745523</v>
      </c>
      <c r="AJ13" s="105">
        <f>1/6.521</f>
        <v>0.15335071308081583</v>
      </c>
      <c r="AK13" s="105">
        <f>1/6.3591</f>
        <v>0.157254957462534</v>
      </c>
      <c r="AL13" s="105">
        <f>1/6.0891</f>
        <v>0.1642278826099095</v>
      </c>
      <c r="AM13" s="105">
        <f>1/6.1177</f>
        <v>0.16346012390277392</v>
      </c>
      <c r="AN13" s="105">
        <f>1/6.2544</f>
        <v>0.15988743924277307</v>
      </c>
      <c r="AO13" s="105">
        <f>1/6.072</f>
        <v>0.16469038208168643</v>
      </c>
      <c r="AP13" s="105">
        <f>1/6.3199</f>
        <v>0.15823035174607195</v>
      </c>
      <c r="AQ13" s="105">
        <f>1/6.9549</f>
        <v>0.14378351953299112</v>
      </c>
      <c r="AR13" s="105">
        <f>1/7.0843</f>
        <v>0.14115720678119223</v>
      </c>
      <c r="AS13" s="105">
        <f>1/6.9553</f>
        <v>0.14377525052837403</v>
      </c>
      <c r="AT13" s="105">
        <f>1/7.4098</f>
        <v>0.1349564090798672</v>
      </c>
      <c r="AU13" s="105">
        <f>1/7.6492</f>
        <v>0.13073262563405322</v>
      </c>
      <c r="AV13" s="105">
        <f>1/7.2586</f>
        <v>0.1377676135893974</v>
      </c>
      <c r="AW13" s="105">
        <f>1/7.0406</f>
        <v>0.14203334943044627</v>
      </c>
      <c r="AX13" s="105">
        <f>1/7.1838</f>
        <v>0.13920209359948774</v>
      </c>
      <c r="AY13" s="105">
        <f>1/7.1698</f>
        <v>0.13947390443248067</v>
      </c>
      <c r="AZ13" s="105">
        <f>1/7.3514</f>
        <v>0.13602851157602633</v>
      </c>
      <c r="BA13" s="105">
        <f>1/7.1216</f>
        <v>0.14041788362165805</v>
      </c>
      <c r="BB13" s="105">
        <f>1/7.0187</f>
        <v>0.14247652699217803</v>
      </c>
      <c r="BC13" s="105">
        <f>1/7.1718</f>
        <v>0.13943500934214562</v>
      </c>
      <c r="BD13" s="105">
        <f>1/6.973</f>
        <v>0.1434102968593145</v>
      </c>
    </row>
    <row r="14" spans="2:56" ht="19.5" customHeight="1">
      <c r="B14" s="86" t="s">
        <v>33</v>
      </c>
      <c r="C14" s="87"/>
      <c r="D14" s="87"/>
      <c r="E14" s="87"/>
      <c r="F14" s="102"/>
      <c r="G14" s="102"/>
      <c r="H14" s="102"/>
      <c r="I14" s="89"/>
      <c r="J14" s="89"/>
      <c r="K14" s="89"/>
      <c r="L14" s="89"/>
      <c r="M14" s="90"/>
      <c r="N14" s="89"/>
      <c r="O14" s="91"/>
      <c r="P14" s="92"/>
      <c r="Q14" s="89"/>
      <c r="R14" s="92"/>
      <c r="S14" s="92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</row>
    <row r="15" spans="2:56" ht="19.5" customHeight="1">
      <c r="B15" s="86" t="s">
        <v>34</v>
      </c>
      <c r="C15" s="104"/>
      <c r="D15" s="104">
        <f>1/12.7437</f>
        <v>0.07847014603294176</v>
      </c>
      <c r="E15" s="104">
        <f>1/12.124</f>
        <v>0.08248102936324644</v>
      </c>
      <c r="F15" s="105">
        <f>1/12.4393</f>
        <v>0.08039037566422548</v>
      </c>
      <c r="G15" s="105">
        <f>1/13.1219</f>
        <v>0.07620847590669035</v>
      </c>
      <c r="H15" s="105">
        <f>1/12.26</f>
        <v>0.08156606851549755</v>
      </c>
      <c r="I15" s="105">
        <f>1/11.7868</f>
        <v>0.08484066922319884</v>
      </c>
      <c r="J15" s="105">
        <f>1/11.702</f>
        <v>0.08545547769612032</v>
      </c>
      <c r="K15" s="105">
        <f>1/11.6744</f>
        <v>0.08565750702391557</v>
      </c>
      <c r="L15" s="105">
        <f>1/11.3692</f>
        <v>0.08795693628399535</v>
      </c>
      <c r="M15" s="105">
        <f>1/11.3073</f>
        <v>0.08843844242215207</v>
      </c>
      <c r="N15" s="105">
        <f>1/12.5935</f>
        <v>0.07940604279985707</v>
      </c>
      <c r="O15" s="106">
        <f>1/12.6411</f>
        <v>0.07910703973546607</v>
      </c>
      <c r="P15" s="105">
        <f>1/12.1204</f>
        <v>0.08250552787036732</v>
      </c>
      <c r="Q15" s="105">
        <f>1/11.8224</f>
        <v>0.08458519420760591</v>
      </c>
      <c r="R15" s="105">
        <f>1/12.1262</f>
        <v>0.08246606521416437</v>
      </c>
      <c r="S15" s="105">
        <f>1/11.7619</f>
        <v>0.08502027733614466</v>
      </c>
      <c r="T15" s="105">
        <f>1/11.2923</f>
        <v>0.08855591863482197</v>
      </c>
      <c r="U15" s="105">
        <f>1/11.7446</f>
        <v>0.08514551368288405</v>
      </c>
      <c r="V15" s="105">
        <f>1/11.736</f>
        <v>0.08520790729379686</v>
      </c>
      <c r="W15" s="105">
        <f>1/11.5461</f>
        <v>0.08660933128935312</v>
      </c>
      <c r="X15" s="105">
        <f>1/11.2483</f>
        <v>0.08890232301770044</v>
      </c>
      <c r="Y15" s="105">
        <f>1/11.601</f>
        <v>0.0861994655633135</v>
      </c>
      <c r="Z15" s="105">
        <f>1/11.2168</f>
        <v>0.08915198630625491</v>
      </c>
      <c r="AA15" s="105">
        <f>1/11.3535</f>
        <v>0.08807856608094419</v>
      </c>
      <c r="AB15" s="105">
        <f>1/11.8847</f>
        <v>0.08414179575420498</v>
      </c>
      <c r="AC15" s="105">
        <f>1/11.6567</f>
        <v>0.08578757281220242</v>
      </c>
      <c r="AD15" s="105">
        <f>1/11.7446</f>
        <v>0.08514551368288405</v>
      </c>
      <c r="AE15" s="105">
        <f>1/12.282</f>
        <v>0.08141996417521576</v>
      </c>
      <c r="AF15" s="105">
        <f>1/11.7407</f>
        <v>0.08517379713304998</v>
      </c>
      <c r="AG15" s="105">
        <f>1/11.5992</f>
        <v>0.0862128422649838</v>
      </c>
      <c r="AH15" s="105">
        <f>1/11.4978</f>
        <v>0.08697316008279846</v>
      </c>
      <c r="AI15" s="105">
        <f>1/11.5989</f>
        <v>0.08621507211890782</v>
      </c>
      <c r="AJ15" s="105">
        <f>1/11.2213</f>
        <v>0.08911623430440324</v>
      </c>
      <c r="AK15" s="105">
        <f>1/11.1059</f>
        <v>0.0900422298057789</v>
      </c>
      <c r="AL15" s="105">
        <f>1/10.7529</f>
        <v>0.09299816793609166</v>
      </c>
      <c r="AM15" s="105">
        <f>1/10.6948</f>
        <v>0.09350338482253057</v>
      </c>
      <c r="AN15" s="105">
        <f>1/10.907</f>
        <v>0.09168423947923351</v>
      </c>
      <c r="AO15" s="105">
        <f>1/10.7206</f>
        <v>0.09327836128574894</v>
      </c>
      <c r="AP15" s="105">
        <f>1/11.806</f>
        <v>0.08470269354565475</v>
      </c>
      <c r="AQ15" s="105">
        <f>1/12.8291</f>
        <v>0.07794779056987629</v>
      </c>
      <c r="AR15" s="105">
        <f>1/13.0643</f>
        <v>0.07654447616787735</v>
      </c>
      <c r="AS15" s="105">
        <f>1/13.1608</f>
        <v>0.07598322290438271</v>
      </c>
      <c r="AT15" s="105">
        <f>1/13.9706</f>
        <v>0.07157888709146351</v>
      </c>
      <c r="AU15" s="105">
        <f>1/14.3415</f>
        <v>0.069727713279643</v>
      </c>
      <c r="AV15" s="105">
        <f>1/13.8728</f>
        <v>0.07208350152817024</v>
      </c>
      <c r="AW15" s="105">
        <f>1/13.8362</f>
        <v>0.07227417932669375</v>
      </c>
      <c r="AX15" s="105">
        <f>1/14.0828</f>
        <v>0.07100860624307666</v>
      </c>
      <c r="AY15" s="105">
        <f>1/14.0398</f>
        <v>0.07122608584167865</v>
      </c>
      <c r="AZ15" s="105">
        <f>1/14.3044</f>
        <v>0.06990855960403793</v>
      </c>
      <c r="BA15" s="105">
        <f>1/14.1669</f>
        <v>0.07058707268350874</v>
      </c>
      <c r="BB15" s="105">
        <f>1/13.9229</f>
        <v>0.07182411710204052</v>
      </c>
      <c r="BC15" s="105">
        <f>1/14.2416</f>
        <v>0.07021682956971127</v>
      </c>
      <c r="BD15" s="105">
        <f>1/14.1833</f>
        <v>0.07050545359683572</v>
      </c>
    </row>
    <row r="16" spans="2:56" ht="19.5" customHeight="1">
      <c r="B16" s="86" t="s">
        <v>35</v>
      </c>
      <c r="C16" s="104"/>
      <c r="D16" s="104">
        <f>1/0.0679</f>
        <v>14.727540500736376</v>
      </c>
      <c r="E16" s="104">
        <f>1/0.0642</f>
        <v>15.576323987538942</v>
      </c>
      <c r="F16" s="105">
        <f>1/0.0654</f>
        <v>15.290519877675841</v>
      </c>
      <c r="G16" s="105">
        <f>1/0.0668</f>
        <v>14.970059880239521</v>
      </c>
      <c r="H16" s="105">
        <f>1/0.0636</f>
        <v>15.723270440251572</v>
      </c>
      <c r="I16" s="105">
        <f>1/0.0622</f>
        <v>16.077170418006432</v>
      </c>
      <c r="J16" s="105">
        <f>1/0.0636</f>
        <v>15.723270440251572</v>
      </c>
      <c r="K16" s="105">
        <f>1/0.0636</f>
        <v>15.723270440251572</v>
      </c>
      <c r="L16" s="105">
        <f>1/0.0616</f>
        <v>16.233766233766232</v>
      </c>
      <c r="M16" s="105">
        <f>1/0.0604</f>
        <v>16.556291390728475</v>
      </c>
      <c r="N16" s="105">
        <f>1/0.065</f>
        <v>15.384615384615383</v>
      </c>
      <c r="O16" s="106">
        <f>1/0.0695</f>
        <v>14.388489208633093</v>
      </c>
      <c r="P16" s="105">
        <f>1/0.0611</f>
        <v>16.366612111292962</v>
      </c>
      <c r="Q16" s="105">
        <f>1/0.061</f>
        <v>16.39344262295082</v>
      </c>
      <c r="R16" s="105">
        <f>1/0.0606</f>
        <v>16.5016501650165</v>
      </c>
      <c r="S16" s="105">
        <f>1/0.0588</f>
        <v>17.006802721088437</v>
      </c>
      <c r="T16" s="105">
        <f>1/0.0561</f>
        <v>17.825311942959004</v>
      </c>
      <c r="U16" s="105">
        <f>1/0.0505</f>
        <v>19.801980198019802</v>
      </c>
      <c r="V16" s="105">
        <f>1/0.0595</f>
        <v>16.80672268907563</v>
      </c>
      <c r="W16" s="105">
        <f>1/0.0587</f>
        <v>17.035775127768314</v>
      </c>
      <c r="X16" s="105">
        <f>1/0.0578</f>
        <v>17.301038062283737</v>
      </c>
      <c r="Y16" s="105">
        <f>1/0.052</f>
        <v>19.23076923076923</v>
      </c>
      <c r="Z16" s="105">
        <f>1/0.0578</f>
        <v>17.301038062283737</v>
      </c>
      <c r="AA16" s="105">
        <f>1/0.0574</f>
        <v>17.421602787456447</v>
      </c>
      <c r="AB16" s="105">
        <f>1/0.0572</f>
        <v>17.482517482517483</v>
      </c>
      <c r="AC16" s="105">
        <f>1/0.0572</f>
        <v>17.482517482517483</v>
      </c>
      <c r="AD16" s="105">
        <f>1/0.0594</f>
        <v>16.835016835016834</v>
      </c>
      <c r="AE16" s="105">
        <f>1/0.0621</f>
        <v>16.10305958132045</v>
      </c>
      <c r="AF16" s="105">
        <f>1/0.0599</f>
        <v>16.69449081803005</v>
      </c>
      <c r="AG16" s="105">
        <f>1/0.0585</f>
        <v>17.094017094017094</v>
      </c>
      <c r="AH16" s="105">
        <f>1/0.0573</f>
        <v>17.452006980802793</v>
      </c>
      <c r="AI16" s="105">
        <f>1/0.0573</f>
        <v>17.452006980802793</v>
      </c>
      <c r="AJ16" s="105">
        <f>1/0.0545</f>
        <v>18.34862385321101</v>
      </c>
      <c r="AK16" s="105">
        <f>1/0.0536</f>
        <v>18.65671641791045</v>
      </c>
      <c r="AL16" s="105">
        <f>1/0.0528</f>
        <v>18.93939393939394</v>
      </c>
      <c r="AM16" s="105">
        <f>1/0.0519</f>
        <v>19.267822736030826</v>
      </c>
      <c r="AN16" s="105">
        <f>1/0.0533</f>
        <v>18.76172607879925</v>
      </c>
      <c r="AO16" s="105">
        <f>1/0.0518</f>
        <v>19.305019305019304</v>
      </c>
      <c r="AP16" s="105">
        <f>1/0.0566</f>
        <v>17.6678445229682</v>
      </c>
      <c r="AQ16" s="105">
        <f>1/0.0607</f>
        <v>16.474464579901156</v>
      </c>
      <c r="AR16" s="105">
        <f>1/0.0613</f>
        <v>16.31321370309951</v>
      </c>
      <c r="AS16" s="105">
        <f>1/0.06</f>
        <v>16.666666666666668</v>
      </c>
      <c r="AT16" s="105">
        <f>1/0.0633</f>
        <v>15.797788309636653</v>
      </c>
      <c r="AU16" s="105">
        <f>1/0.0645</f>
        <v>15.503875968992247</v>
      </c>
      <c r="AV16" s="105">
        <f>1/0.0619</f>
        <v>16.155088852988694</v>
      </c>
      <c r="AW16" s="105">
        <f>1/0.0601</f>
        <v>16.638935108153078</v>
      </c>
      <c r="AX16" s="105">
        <f>1/0.0597</f>
        <v>16.75041876046901</v>
      </c>
      <c r="AY16" s="105">
        <f>1/0.0595</f>
        <v>16.80672268907563</v>
      </c>
      <c r="AZ16" s="105">
        <f>1/0.0627</f>
        <v>15.948963317384369</v>
      </c>
      <c r="BA16" s="105">
        <f>1/0.06</f>
        <v>16.666666666666668</v>
      </c>
      <c r="BB16" s="105">
        <f>1/0.0581</f>
        <v>17.21170395869191</v>
      </c>
      <c r="BC16" s="105">
        <f>1/0.0585</f>
        <v>17.094017094017094</v>
      </c>
      <c r="BD16" s="105">
        <f>1/0.0574</f>
        <v>17.421602787456447</v>
      </c>
    </row>
    <row r="17" spans="2:56" ht="19.5" customHeight="1">
      <c r="B17" s="86" t="s">
        <v>36</v>
      </c>
      <c r="C17" s="107"/>
      <c r="D17" s="107"/>
      <c r="E17" s="107"/>
      <c r="F17" s="89"/>
      <c r="G17" s="89"/>
      <c r="H17" s="89"/>
      <c r="I17" s="89"/>
      <c r="J17" s="89"/>
      <c r="K17" s="89"/>
      <c r="L17" s="89"/>
      <c r="M17" s="89"/>
      <c r="N17" s="89"/>
      <c r="O17" s="91"/>
      <c r="P17" s="92"/>
      <c r="Q17" s="89"/>
      <c r="R17" s="92"/>
      <c r="S17" s="92"/>
      <c r="T17" s="92"/>
      <c r="U17" s="92"/>
      <c r="V17" s="92"/>
      <c r="W17" s="92"/>
      <c r="X17" s="92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</row>
    <row r="18" spans="2:56" ht="19.5" customHeight="1">
      <c r="B18" s="80"/>
      <c r="C18" s="108"/>
      <c r="D18" s="108"/>
      <c r="E18" s="109"/>
      <c r="F18" s="81"/>
      <c r="G18" s="81"/>
      <c r="H18" s="81"/>
      <c r="I18" s="110"/>
      <c r="J18" s="110"/>
      <c r="K18" s="81"/>
      <c r="L18" s="81"/>
      <c r="M18" s="84"/>
      <c r="N18" s="110"/>
      <c r="O18" s="84"/>
      <c r="P18" s="82"/>
      <c r="Q18" s="81"/>
      <c r="R18" s="82"/>
      <c r="S18" s="82"/>
      <c r="T18" s="85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</row>
    <row r="19" spans="2:56" ht="19.5" customHeight="1">
      <c r="B19" s="215" t="s">
        <v>38</v>
      </c>
      <c r="C19" s="108"/>
      <c r="D19" s="108"/>
      <c r="E19" s="80"/>
      <c r="F19" s="81"/>
      <c r="G19" s="81"/>
      <c r="H19" s="81"/>
      <c r="I19" s="82"/>
      <c r="J19" s="82"/>
      <c r="K19" s="81"/>
      <c r="L19" s="81"/>
      <c r="M19" s="83"/>
      <c r="N19" s="82"/>
      <c r="O19" s="84"/>
      <c r="P19" s="82"/>
      <c r="Q19" s="81"/>
      <c r="R19" s="82"/>
      <c r="S19" s="82"/>
      <c r="T19" s="85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</row>
    <row r="20" spans="2:56" ht="19.5" customHeight="1" thickBot="1">
      <c r="B20" s="216" t="s">
        <v>37</v>
      </c>
      <c r="C20" s="111"/>
      <c r="D20" s="111"/>
      <c r="E20" s="112"/>
      <c r="F20" s="113"/>
      <c r="G20" s="113"/>
      <c r="H20" s="113"/>
      <c r="I20" s="114"/>
      <c r="J20" s="114"/>
      <c r="K20" s="113"/>
      <c r="L20" s="113"/>
      <c r="M20" s="115"/>
      <c r="N20" s="114"/>
      <c r="O20" s="116"/>
      <c r="P20" s="114"/>
      <c r="Q20" s="113"/>
      <c r="R20" s="114"/>
      <c r="S20" s="114"/>
      <c r="T20" s="117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</row>
    <row r="21" ht="19.5" customHeight="1">
      <c r="B21" s="125" t="s">
        <v>144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3"/>
  <sheetViews>
    <sheetView showGridLines="0" zoomScale="70" zoomScaleNormal="70" zoomScaleSheetLayoutView="50" zoomScalePageLayoutView="0" workbookViewId="0" topLeftCell="A1">
      <selection activeCell="R42" sqref="R42"/>
    </sheetView>
  </sheetViews>
  <sheetFormatPr defaultColWidth="9.140625" defaultRowHeight="12"/>
  <cols>
    <col min="11" max="11" width="8.7109375" style="0" customWidth="1"/>
  </cols>
  <sheetData>
    <row r="2" spans="1:15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5.75">
      <c r="A4" s="239" t="s">
        <v>156</v>
      </c>
      <c r="B4" s="239"/>
      <c r="C4" s="239"/>
      <c r="D4" s="239"/>
      <c r="E4" s="239"/>
      <c r="F4" s="239"/>
      <c r="G4" s="239"/>
      <c r="H4" s="239"/>
      <c r="I4" s="239"/>
      <c r="J4" s="239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.75">
      <c r="A38" s="239" t="s">
        <v>152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102"/>
  <sheetViews>
    <sheetView tabSelected="1" zoomScalePageLayoutView="0" workbookViewId="0" topLeftCell="A1">
      <selection activeCell="B59" sqref="B59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8" width="9.8515625" style="0" customWidth="1"/>
    <col min="9" max="9" width="8.421875" style="0" customWidth="1"/>
    <col min="10" max="10" width="9.7109375" style="0" bestFit="1" customWidth="1"/>
  </cols>
  <sheetData>
    <row r="1" ht="12" thickBot="1"/>
    <row r="2" spans="1:9" ht="11.25">
      <c r="A2" s="158"/>
      <c r="B2" s="244" t="s">
        <v>90</v>
      </c>
      <c r="C2" s="245"/>
      <c r="D2" s="245"/>
      <c r="E2" s="245"/>
      <c r="F2" s="245"/>
      <c r="G2" s="245"/>
      <c r="H2" s="245"/>
      <c r="I2" s="246"/>
    </row>
    <row r="3" spans="1:9" ht="11.25">
      <c r="A3" s="158"/>
      <c r="B3" s="247" t="s">
        <v>98</v>
      </c>
      <c r="C3" s="248"/>
      <c r="D3" s="248"/>
      <c r="E3" s="248"/>
      <c r="F3" s="248"/>
      <c r="G3" s="248"/>
      <c r="H3" s="248"/>
      <c r="I3" s="249"/>
    </row>
    <row r="4" spans="1:9" ht="11.25">
      <c r="A4" s="158"/>
      <c r="B4" s="159"/>
      <c r="C4" s="157"/>
      <c r="D4" s="49"/>
      <c r="E4" s="157"/>
      <c r="F4" s="250" t="s">
        <v>91</v>
      </c>
      <c r="G4" s="251"/>
      <c r="H4" s="250" t="s">
        <v>161</v>
      </c>
      <c r="I4" s="251"/>
    </row>
    <row r="5" spans="1:9" ht="11.25">
      <c r="A5" s="158"/>
      <c r="B5" s="160"/>
      <c r="C5" s="12">
        <v>38926</v>
      </c>
      <c r="D5" s="156">
        <v>39263</v>
      </c>
      <c r="E5" s="12">
        <v>39293</v>
      </c>
      <c r="F5" s="12" t="s">
        <v>164</v>
      </c>
      <c r="G5" s="126" t="s">
        <v>162</v>
      </c>
      <c r="H5" s="126" t="s">
        <v>164</v>
      </c>
      <c r="I5" s="184" t="s">
        <v>162</v>
      </c>
    </row>
    <row r="6" spans="1:10" ht="11.25">
      <c r="A6" s="158"/>
      <c r="B6" s="161" t="s">
        <v>58</v>
      </c>
      <c r="C6" s="43">
        <v>4429.69963347</v>
      </c>
      <c r="D6" s="43">
        <v>8525.873079019997</v>
      </c>
      <c r="E6" s="43">
        <v>8461.67385556</v>
      </c>
      <c r="F6" s="43">
        <v>-64.19922345999657</v>
      </c>
      <c r="G6" s="43">
        <v>4031.9742220900007</v>
      </c>
      <c r="H6" s="43">
        <v>-0.7529929529208512</v>
      </c>
      <c r="I6" s="162">
        <v>91.02139096802729</v>
      </c>
      <c r="J6" s="68"/>
    </row>
    <row r="7" spans="1:10" ht="11.25">
      <c r="A7" s="158"/>
      <c r="B7" s="161" t="s">
        <v>59</v>
      </c>
      <c r="C7" s="43">
        <v>3323.06893531</v>
      </c>
      <c r="D7" s="43">
        <v>6485.446174229997</v>
      </c>
      <c r="E7" s="43">
        <v>7887.560834530001</v>
      </c>
      <c r="F7" s="43">
        <v>1402.1146603000034</v>
      </c>
      <c r="G7" s="43">
        <v>4564.49189922</v>
      </c>
      <c r="H7" s="43">
        <v>21.619401697778695</v>
      </c>
      <c r="I7" s="162">
        <v>137.35772528577385</v>
      </c>
      <c r="J7" s="68"/>
    </row>
    <row r="8" spans="1:10" ht="11.25">
      <c r="A8" s="158"/>
      <c r="B8" s="163" t="s">
        <v>60</v>
      </c>
      <c r="C8" s="13">
        <v>3162.61979957</v>
      </c>
      <c r="D8" s="13">
        <v>6221.324041089998</v>
      </c>
      <c r="E8" s="13">
        <v>7643.80585256</v>
      </c>
      <c r="F8" s="13">
        <v>1422.481811470002</v>
      </c>
      <c r="G8" s="13">
        <v>4481.1860529900005</v>
      </c>
      <c r="H8" s="13">
        <v>22.86461534674825</v>
      </c>
      <c r="I8" s="164">
        <v>141.6922152197769</v>
      </c>
      <c r="J8" s="68"/>
    </row>
    <row r="9" spans="1:10" ht="11.25">
      <c r="A9" s="158"/>
      <c r="B9" s="163" t="s">
        <v>61</v>
      </c>
      <c r="C9" s="13">
        <v>-6E-08</v>
      </c>
      <c r="D9" s="13">
        <v>4E-08</v>
      </c>
      <c r="E9" s="13">
        <v>-1.1E-07</v>
      </c>
      <c r="F9" s="13">
        <v>-1.5E-07</v>
      </c>
      <c r="G9" s="13">
        <v>-5.000000000000001E-08</v>
      </c>
      <c r="H9" s="13">
        <v>0</v>
      </c>
      <c r="I9" s="164">
        <v>0</v>
      </c>
      <c r="J9" s="68"/>
    </row>
    <row r="10" spans="1:10" ht="11.25">
      <c r="A10" s="158"/>
      <c r="B10" s="163" t="s">
        <v>62</v>
      </c>
      <c r="C10" s="13">
        <v>160.4491358</v>
      </c>
      <c r="D10" s="13">
        <v>264.1221331</v>
      </c>
      <c r="E10" s="13">
        <v>243.75498208</v>
      </c>
      <c r="F10" s="13">
        <v>-20.367151019999994</v>
      </c>
      <c r="G10" s="13">
        <v>83.30584628</v>
      </c>
      <c r="H10" s="13">
        <v>-7.711262506080371</v>
      </c>
      <c r="I10" s="164">
        <v>51.92040821200858</v>
      </c>
      <c r="J10" s="68"/>
    </row>
    <row r="11" spans="1:10" ht="11.25">
      <c r="A11" s="158"/>
      <c r="B11" s="161" t="s">
        <v>63</v>
      </c>
      <c r="C11" s="43">
        <v>1040.23069816</v>
      </c>
      <c r="D11" s="43">
        <v>2040.42690479</v>
      </c>
      <c r="E11" s="43">
        <v>574.1130210299999</v>
      </c>
      <c r="F11" s="43">
        <v>-1466.31388376</v>
      </c>
      <c r="G11" s="43">
        <v>-466.11767713000006</v>
      </c>
      <c r="H11" s="43">
        <v>-71.86309297910931</v>
      </c>
      <c r="I11" s="162">
        <v>-44.809067638023656</v>
      </c>
      <c r="J11" s="68"/>
    </row>
    <row r="12" spans="1:10" ht="11.25">
      <c r="A12" s="158"/>
      <c r="B12" s="163" t="s">
        <v>136</v>
      </c>
      <c r="C12" s="13">
        <v>1026.61124529</v>
      </c>
      <c r="D12" s="13">
        <v>2024.59712586</v>
      </c>
      <c r="E12" s="13">
        <v>558.0223873599999</v>
      </c>
      <c r="F12" s="13">
        <v>-1466.5747385</v>
      </c>
      <c r="G12" s="13">
        <v>-468.58885793</v>
      </c>
      <c r="H12" s="13">
        <v>-72.4378554018264</v>
      </c>
      <c r="I12" s="164">
        <v>-45.64423583706525</v>
      </c>
      <c r="J12" s="68"/>
    </row>
    <row r="13" spans="1:10" ht="11.25">
      <c r="A13" s="158"/>
      <c r="B13" s="163" t="s">
        <v>92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64">
        <v>0</v>
      </c>
      <c r="J13" s="68"/>
    </row>
    <row r="14" spans="1:10" ht="11.25">
      <c r="A14" s="158"/>
      <c r="B14" s="163" t="s">
        <v>64</v>
      </c>
      <c r="C14" s="13">
        <v>13.619452869999998</v>
      </c>
      <c r="D14" s="13">
        <v>15.829778930000002</v>
      </c>
      <c r="E14" s="13">
        <v>16.09063367</v>
      </c>
      <c r="F14" s="13">
        <v>0.2608547399999974</v>
      </c>
      <c r="G14" s="13">
        <v>2.471180800000001</v>
      </c>
      <c r="H14" s="13">
        <v>1.6478735499308543</v>
      </c>
      <c r="I14" s="164">
        <v>18.144493935166437</v>
      </c>
      <c r="J14" s="68"/>
    </row>
    <row r="15" spans="1:10" ht="11.25">
      <c r="A15" s="158"/>
      <c r="B15" s="165"/>
      <c r="C15" s="43"/>
      <c r="D15" s="43"/>
      <c r="E15" s="43"/>
      <c r="F15" s="43"/>
      <c r="G15" s="43"/>
      <c r="H15" s="43"/>
      <c r="I15" s="162"/>
      <c r="J15" s="68"/>
    </row>
    <row r="16" spans="1:10" ht="11.25">
      <c r="A16" s="158"/>
      <c r="B16" s="161" t="s">
        <v>65</v>
      </c>
      <c r="C16" s="43">
        <v>4429.7077761300025</v>
      </c>
      <c r="D16" s="43">
        <v>8525.911505253001</v>
      </c>
      <c r="E16" s="43">
        <v>8461.746166993003</v>
      </c>
      <c r="F16" s="43">
        <v>-64.16533825999795</v>
      </c>
      <c r="G16" s="43">
        <v>4032.038390863001</v>
      </c>
      <c r="H16" s="43">
        <v>-0.7525921213287785</v>
      </c>
      <c r="I16" s="162">
        <v>91.0226722536893</v>
      </c>
      <c r="J16" s="68"/>
    </row>
    <row r="17" spans="1:10" ht="11.25">
      <c r="A17" s="158"/>
      <c r="B17" s="161" t="s">
        <v>66</v>
      </c>
      <c r="C17" s="43">
        <v>1378.859082670002</v>
      </c>
      <c r="D17" s="43">
        <v>1510.9558621200017</v>
      </c>
      <c r="E17" s="43">
        <v>1577.693399030003</v>
      </c>
      <c r="F17" s="43">
        <v>66.73753691000138</v>
      </c>
      <c r="G17" s="43">
        <v>198.83431636000114</v>
      </c>
      <c r="H17" s="43">
        <v>4.416908434132738</v>
      </c>
      <c r="I17" s="162">
        <v>14.420205723632131</v>
      </c>
      <c r="J17" s="68"/>
    </row>
    <row r="18" spans="1:10" ht="11.25">
      <c r="A18" s="158"/>
      <c r="B18" s="163" t="s">
        <v>67</v>
      </c>
      <c r="C18" s="13">
        <v>1009.44508875</v>
      </c>
      <c r="D18" s="13">
        <v>1080.7734056</v>
      </c>
      <c r="E18" s="13">
        <v>1139.9018987</v>
      </c>
      <c r="F18" s="13">
        <v>59.128493100000014</v>
      </c>
      <c r="G18" s="13">
        <v>130.45680994999998</v>
      </c>
      <c r="H18" s="13">
        <v>5.470942641040872</v>
      </c>
      <c r="I18" s="164">
        <v>12.923616292149697</v>
      </c>
      <c r="J18" s="68"/>
    </row>
    <row r="19" spans="1:10" ht="11.25">
      <c r="A19" s="158"/>
      <c r="B19" s="163" t="s">
        <v>68</v>
      </c>
      <c r="C19" s="13">
        <v>369.413993920002</v>
      </c>
      <c r="D19" s="13">
        <v>430.18245652000167</v>
      </c>
      <c r="E19" s="13">
        <v>437.79150033000303</v>
      </c>
      <c r="F19" s="13">
        <v>7.609043810001367</v>
      </c>
      <c r="G19" s="13">
        <v>68.37750641000105</v>
      </c>
      <c r="H19" s="13">
        <v>1.7687945416359812</v>
      </c>
      <c r="I19" s="164">
        <v>18.509722840875504</v>
      </c>
      <c r="J19" s="68"/>
    </row>
    <row r="20" spans="1:10" ht="11.25">
      <c r="A20" s="158"/>
      <c r="B20" s="161" t="s">
        <v>137</v>
      </c>
      <c r="C20" s="43">
        <v>3175.24230259</v>
      </c>
      <c r="D20" s="43">
        <v>6766.17694166</v>
      </c>
      <c r="E20" s="43">
        <v>6604.768207290001</v>
      </c>
      <c r="F20" s="43">
        <v>-161.40873436999937</v>
      </c>
      <c r="G20" s="43">
        <v>3429.525904700001</v>
      </c>
      <c r="H20" s="43">
        <v>-2.3855234020882654</v>
      </c>
      <c r="I20" s="162">
        <v>108.0083211886723</v>
      </c>
      <c r="J20" s="68"/>
    </row>
    <row r="21" spans="1:10" ht="11.25">
      <c r="A21" s="158"/>
      <c r="B21" s="163" t="s">
        <v>93</v>
      </c>
      <c r="C21" s="13">
        <v>2227.70533359</v>
      </c>
      <c r="D21" s="13">
        <v>5691.12583395</v>
      </c>
      <c r="E21" s="13">
        <v>5426.77201399</v>
      </c>
      <c r="F21" s="13">
        <v>-264.3538199599998</v>
      </c>
      <c r="G21" s="13">
        <v>3199.0666804</v>
      </c>
      <c r="H21" s="13">
        <v>-4.645018010022133</v>
      </c>
      <c r="I21" s="164">
        <v>143.60367289890303</v>
      </c>
      <c r="J21" s="68"/>
    </row>
    <row r="22" spans="1:10" ht="11.25">
      <c r="A22" s="158"/>
      <c r="B22" s="166" t="s">
        <v>69</v>
      </c>
      <c r="C22" s="13">
        <v>947.536969</v>
      </c>
      <c r="D22" s="13">
        <v>1075.05110771</v>
      </c>
      <c r="E22" s="13">
        <v>1177.9961933</v>
      </c>
      <c r="F22" s="13">
        <v>102.94508558999996</v>
      </c>
      <c r="G22" s="13">
        <v>230.45922429999996</v>
      </c>
      <c r="H22" s="13">
        <v>9.5758317768991</v>
      </c>
      <c r="I22" s="164">
        <v>24.321924298449186</v>
      </c>
      <c r="J22" s="68"/>
    </row>
    <row r="23" spans="1:10" ht="11.25">
      <c r="A23" s="158"/>
      <c r="B23" s="167" t="s">
        <v>0</v>
      </c>
      <c r="C23" s="13">
        <v>1.8699082699999998</v>
      </c>
      <c r="D23" s="13">
        <v>14.712950209999999</v>
      </c>
      <c r="E23" s="13">
        <v>19.0371053</v>
      </c>
      <c r="F23" s="13">
        <v>4.324155090000001</v>
      </c>
      <c r="G23" s="13">
        <v>17.16719703</v>
      </c>
      <c r="H23" s="13">
        <v>29.390129296169228</v>
      </c>
      <c r="I23" s="164">
        <v>918.0769616041113</v>
      </c>
      <c r="J23" s="68"/>
    </row>
    <row r="24" spans="1:10" ht="11.25">
      <c r="A24" s="158"/>
      <c r="B24" s="167" t="s">
        <v>139</v>
      </c>
      <c r="C24" s="13">
        <v>9.934201830000031</v>
      </c>
      <c r="D24" s="13">
        <v>400.1548598499999</v>
      </c>
      <c r="E24" s="13">
        <v>431.65248400999997</v>
      </c>
      <c r="F24" s="13">
        <v>31.497624160000044</v>
      </c>
      <c r="G24" s="13">
        <v>421.71828217999996</v>
      </c>
      <c r="H24" s="13">
        <v>7.871358646451798</v>
      </c>
      <c r="I24" s="164">
        <v>4245.114900992489</v>
      </c>
      <c r="J24" s="68"/>
    </row>
    <row r="25" spans="1:10" ht="11.25">
      <c r="A25" s="158"/>
      <c r="B25" s="168" t="s">
        <v>123</v>
      </c>
      <c r="C25" s="140">
        <v>-136.19771923000002</v>
      </c>
      <c r="D25" s="140">
        <v>-166.089108587</v>
      </c>
      <c r="E25" s="140">
        <v>-171.40502863700004</v>
      </c>
      <c r="F25" s="140">
        <v>-5.315920050000045</v>
      </c>
      <c r="G25" s="140">
        <v>-35.207309407000025</v>
      </c>
      <c r="H25" s="140">
        <v>3.200643374646981</v>
      </c>
      <c r="I25" s="169">
        <v>25.85014610086435</v>
      </c>
      <c r="J25" s="68"/>
    </row>
    <row r="26" spans="2:10" ht="12" customHeight="1" hidden="1" thickBot="1">
      <c r="B26" s="124" t="s">
        <v>87</v>
      </c>
      <c r="C26" s="140">
        <v>-0.00814266000270436</v>
      </c>
      <c r="D26" s="140">
        <v>-0.03842623300442938</v>
      </c>
      <c r="E26" s="140">
        <v>-0.0723114330030512</v>
      </c>
      <c r="F26" s="140">
        <v>-0.03388519999862183</v>
      </c>
      <c r="G26" s="140">
        <v>-0.06416877300034685</v>
      </c>
      <c r="H26" s="140">
        <v>-0.00040083159207271457</v>
      </c>
      <c r="I26" s="140">
        <v>0.00814266000270436</v>
      </c>
      <c r="J26" s="68">
        <f>(E26-C26)/C26*100</f>
        <v>788.0566421665027</v>
      </c>
    </row>
    <row r="27" spans="2:9" ht="11.25">
      <c r="B27" s="52"/>
      <c r="C27" s="53"/>
      <c r="D27" s="53"/>
      <c r="E27" s="53"/>
      <c r="F27" s="53"/>
      <c r="G27" s="53"/>
      <c r="H27" s="53"/>
      <c r="I27" s="54"/>
    </row>
    <row r="28" spans="2:9" ht="11.25">
      <c r="B28" s="52"/>
      <c r="C28" s="53"/>
      <c r="D28" s="53"/>
      <c r="E28" s="53"/>
      <c r="F28" s="53"/>
      <c r="G28" s="53"/>
      <c r="H28" s="53"/>
      <c r="I28" s="54"/>
    </row>
    <row r="29" spans="2:9" ht="12" thickBot="1">
      <c r="B29" s="52"/>
      <c r="C29" s="53"/>
      <c r="D29" s="53"/>
      <c r="E29" s="53"/>
      <c r="F29" s="53"/>
      <c r="G29" s="53"/>
      <c r="H29" s="53"/>
      <c r="I29" s="54"/>
    </row>
    <row r="30" spans="1:10" ht="11.25">
      <c r="A30" s="158"/>
      <c r="B30" s="245" t="s">
        <v>90</v>
      </c>
      <c r="C30" s="245"/>
      <c r="D30" s="245"/>
      <c r="E30" s="245"/>
      <c r="F30" s="245"/>
      <c r="G30" s="245"/>
      <c r="H30" s="245"/>
      <c r="I30" s="245"/>
      <c r="J30" s="170"/>
    </row>
    <row r="31" spans="1:10" ht="11.25">
      <c r="A31" s="158"/>
      <c r="B31" s="248" t="s">
        <v>70</v>
      </c>
      <c r="C31" s="248"/>
      <c r="D31" s="248"/>
      <c r="E31" s="248"/>
      <c r="F31" s="248"/>
      <c r="G31" s="248"/>
      <c r="H31" s="248"/>
      <c r="I31" s="248"/>
      <c r="J31" s="170"/>
    </row>
    <row r="32" spans="1:10" ht="11.25">
      <c r="A32" s="158"/>
      <c r="B32" s="49"/>
      <c r="C32" s="157"/>
      <c r="D32" s="49"/>
      <c r="E32" s="157"/>
      <c r="F32" s="250" t="s">
        <v>91</v>
      </c>
      <c r="G32" s="252"/>
      <c r="H32" s="250" t="s">
        <v>161</v>
      </c>
      <c r="I32" s="252"/>
      <c r="J32" s="170"/>
    </row>
    <row r="33" spans="1:10" ht="11.25">
      <c r="A33" s="158"/>
      <c r="B33" s="160"/>
      <c r="C33" s="12">
        <v>38926</v>
      </c>
      <c r="D33" s="156">
        <v>39263</v>
      </c>
      <c r="E33" s="12">
        <v>39293</v>
      </c>
      <c r="F33" s="12" t="s">
        <v>164</v>
      </c>
      <c r="G33" s="126" t="s">
        <v>162</v>
      </c>
      <c r="H33" s="126" t="s">
        <v>164</v>
      </c>
      <c r="I33" s="184" t="s">
        <v>162</v>
      </c>
      <c r="J33" s="170"/>
    </row>
    <row r="34" spans="1:10" ht="11.25">
      <c r="A34" s="158"/>
      <c r="B34" s="43" t="s">
        <v>58</v>
      </c>
      <c r="C34" s="43">
        <v>34050.94952699001</v>
      </c>
      <c r="D34" s="43">
        <v>38099.694381234105</v>
      </c>
      <c r="E34" s="43">
        <v>39335.23272184</v>
      </c>
      <c r="F34" s="43">
        <v>1235.5383406058972</v>
      </c>
      <c r="G34" s="43">
        <v>5284.283194849995</v>
      </c>
      <c r="H34" s="43">
        <v>3.242908796702732</v>
      </c>
      <c r="I34" s="50">
        <v>15.518754302758818</v>
      </c>
      <c r="J34" s="170"/>
    </row>
    <row r="35" spans="1:10" ht="11.25">
      <c r="A35" s="158"/>
      <c r="B35" s="43" t="s">
        <v>59</v>
      </c>
      <c r="C35" s="43">
        <v>1188.15</v>
      </c>
      <c r="D35" s="43">
        <v>1877.2092711141095</v>
      </c>
      <c r="E35" s="43">
        <v>2674.72706968</v>
      </c>
      <c r="F35" s="43">
        <v>797.5177985658906</v>
      </c>
      <c r="G35" s="43">
        <v>1486.57706968</v>
      </c>
      <c r="H35" s="43">
        <v>42.48422436634195</v>
      </c>
      <c r="I35" s="50">
        <v>125.11695237806673</v>
      </c>
      <c r="J35" s="170"/>
    </row>
    <row r="36" spans="1:10" ht="11.25">
      <c r="A36" s="158"/>
      <c r="B36" s="51" t="s">
        <v>71</v>
      </c>
      <c r="C36" s="13">
        <v>64.189</v>
      </c>
      <c r="D36" s="13">
        <v>65.036082</v>
      </c>
      <c r="E36" s="13">
        <v>114.35488500000001</v>
      </c>
      <c r="F36" s="13">
        <v>49.31880300000002</v>
      </c>
      <c r="G36" s="13">
        <v>50.16588500000002</v>
      </c>
      <c r="H36" s="13">
        <v>75.83298606456647</v>
      </c>
      <c r="I36" s="141">
        <v>78.15339855738526</v>
      </c>
      <c r="J36" s="170"/>
    </row>
    <row r="37" spans="1:10" ht="11.25">
      <c r="A37" s="158"/>
      <c r="B37" s="51" t="s">
        <v>60</v>
      </c>
      <c r="C37" s="13">
        <v>1077.282</v>
      </c>
      <c r="D37" s="13">
        <v>1767.9161891141093</v>
      </c>
      <c r="E37" s="13">
        <v>2511.02018468</v>
      </c>
      <c r="F37" s="13">
        <v>743.1039955658907</v>
      </c>
      <c r="G37" s="13">
        <v>1433.7381846800001</v>
      </c>
      <c r="H37" s="13">
        <v>42.03276151559283</v>
      </c>
      <c r="I37" s="141">
        <v>133.0884749471355</v>
      </c>
      <c r="J37" s="170"/>
    </row>
    <row r="38" spans="1:10" ht="11.25">
      <c r="A38" s="158"/>
      <c r="B38" s="51" t="s">
        <v>72</v>
      </c>
      <c r="C38" s="13">
        <v>46.679</v>
      </c>
      <c r="D38" s="13">
        <v>44.257</v>
      </c>
      <c r="E38" s="13">
        <v>49.352000000000004</v>
      </c>
      <c r="F38" s="13">
        <v>5.095000000000006</v>
      </c>
      <c r="G38" s="13">
        <v>2.673000000000002</v>
      </c>
      <c r="H38" s="13">
        <v>11.512303138486581</v>
      </c>
      <c r="I38" s="141">
        <v>5.726343752008401</v>
      </c>
      <c r="J38" s="170"/>
    </row>
    <row r="39" spans="1:10" ht="11.25">
      <c r="A39" s="158"/>
      <c r="B39" s="51" t="s">
        <v>73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1">
        <v>0</v>
      </c>
      <c r="J39" s="170"/>
    </row>
    <row r="40" spans="1:10" ht="11.25">
      <c r="A40" s="158"/>
      <c r="B40" s="43" t="s">
        <v>63</v>
      </c>
      <c r="C40" s="43">
        <v>30729.969875630002</v>
      </c>
      <c r="D40" s="43">
        <v>34636.39531116</v>
      </c>
      <c r="E40" s="43">
        <v>34798.382108750004</v>
      </c>
      <c r="F40" s="43">
        <v>161.98679759000515</v>
      </c>
      <c r="G40" s="43">
        <v>4068.4122331200015</v>
      </c>
      <c r="H40" s="43">
        <v>0.46767799054947357</v>
      </c>
      <c r="I40" s="50">
        <v>13.239232741150204</v>
      </c>
      <c r="J40" s="170"/>
    </row>
    <row r="41" spans="1:10" ht="11.25">
      <c r="A41" s="158"/>
      <c r="B41" s="51" t="s">
        <v>94</v>
      </c>
      <c r="C41" s="13">
        <v>632.818</v>
      </c>
      <c r="D41" s="13">
        <v>696.18196636</v>
      </c>
      <c r="E41" s="13">
        <v>736.4104974999999</v>
      </c>
      <c r="F41" s="13">
        <v>40.22853113999986</v>
      </c>
      <c r="G41" s="13">
        <v>103.59249749999992</v>
      </c>
      <c r="H41" s="13">
        <v>5.778450618354201</v>
      </c>
      <c r="I41" s="141">
        <v>16.37003016665138</v>
      </c>
      <c r="J41" s="170"/>
    </row>
    <row r="42" spans="1:10" ht="11.25">
      <c r="A42" s="158"/>
      <c r="B42" s="51" t="s">
        <v>92</v>
      </c>
      <c r="C42" s="13">
        <v>2555.769</v>
      </c>
      <c r="D42" s="13">
        <v>3270.230892</v>
      </c>
      <c r="E42" s="13">
        <v>3315.48544921</v>
      </c>
      <c r="F42" s="13">
        <v>45.2545572099998</v>
      </c>
      <c r="G42" s="13">
        <v>759.7164492100001</v>
      </c>
      <c r="H42" s="13">
        <v>1.3838337017947722</v>
      </c>
      <c r="I42" s="141">
        <v>29.725552239267326</v>
      </c>
      <c r="J42" s="170"/>
    </row>
    <row r="43" spans="1:10" ht="11.25">
      <c r="A43" s="158"/>
      <c r="B43" s="51" t="s">
        <v>51</v>
      </c>
      <c r="C43" s="13">
        <v>625.327</v>
      </c>
      <c r="D43" s="13">
        <v>1067.661</v>
      </c>
      <c r="E43" s="13">
        <v>983.649</v>
      </c>
      <c r="F43" s="13">
        <v>-84.01200000000006</v>
      </c>
      <c r="G43" s="13">
        <v>358.322</v>
      </c>
      <c r="H43" s="13">
        <v>-7.868789812496669</v>
      </c>
      <c r="I43" s="141">
        <v>57.301539834358664</v>
      </c>
      <c r="J43" s="170"/>
    </row>
    <row r="44" spans="1:10" ht="11.25">
      <c r="A44" s="158"/>
      <c r="B44" s="51" t="s">
        <v>95</v>
      </c>
      <c r="C44" s="13">
        <v>20.806</v>
      </c>
      <c r="D44" s="13">
        <v>27.021</v>
      </c>
      <c r="E44" s="13">
        <v>40.36</v>
      </c>
      <c r="F44" s="13">
        <v>13.338999999999999</v>
      </c>
      <c r="G44" s="13">
        <v>19.554</v>
      </c>
      <c r="H44" s="13">
        <v>49.365308463787414</v>
      </c>
      <c r="I44" s="141">
        <v>93.98250504662116</v>
      </c>
      <c r="J44" s="170"/>
    </row>
    <row r="45" spans="1:10" ht="11.25">
      <c r="A45" s="158"/>
      <c r="B45" s="51" t="s">
        <v>105</v>
      </c>
      <c r="C45" s="13">
        <v>402.979</v>
      </c>
      <c r="D45" s="13">
        <v>415.22499999999997</v>
      </c>
      <c r="E45" s="13">
        <v>380.11699999999996</v>
      </c>
      <c r="F45" s="13">
        <v>-35.108000000000004</v>
      </c>
      <c r="G45" s="13">
        <v>-22.862000000000023</v>
      </c>
      <c r="H45" s="13">
        <v>-8.455174905171896</v>
      </c>
      <c r="I45" s="141">
        <v>-5.673248481930826</v>
      </c>
      <c r="J45" s="170"/>
    </row>
    <row r="46" spans="1:10" ht="11.25">
      <c r="A46" s="158"/>
      <c r="B46" s="51" t="s">
        <v>74</v>
      </c>
      <c r="C46" s="13">
        <v>9385.065999999999</v>
      </c>
      <c r="D46" s="13">
        <v>9878.03873034</v>
      </c>
      <c r="E46" s="13">
        <v>9915.000863750001</v>
      </c>
      <c r="F46" s="13">
        <v>36.962133410001115</v>
      </c>
      <c r="G46" s="13">
        <v>529.9348637500025</v>
      </c>
      <c r="H46" s="13">
        <v>0.3741849411510546</v>
      </c>
      <c r="I46" s="141">
        <v>5.646575780607217</v>
      </c>
      <c r="J46" s="170"/>
    </row>
    <row r="47" spans="1:10" ht="11.25">
      <c r="A47" s="158"/>
      <c r="B47" s="51" t="s">
        <v>52</v>
      </c>
      <c r="C47" s="13">
        <v>17107.204875630003</v>
      </c>
      <c r="D47" s="13">
        <v>19282.036722459998</v>
      </c>
      <c r="E47" s="13">
        <v>19427.35929829</v>
      </c>
      <c r="F47" s="13">
        <v>145.3225758300032</v>
      </c>
      <c r="G47" s="13">
        <v>2320.154422659998</v>
      </c>
      <c r="H47" s="13">
        <v>0.7536681830956651</v>
      </c>
      <c r="I47" s="141">
        <v>13.562440150378771</v>
      </c>
      <c r="J47" s="170"/>
    </row>
    <row r="48" spans="1:10" ht="11.25">
      <c r="A48" s="158"/>
      <c r="B48" s="226" t="s">
        <v>168</v>
      </c>
      <c r="C48" s="13">
        <v>2132.82965136</v>
      </c>
      <c r="D48" s="13">
        <v>1586.0897989600003</v>
      </c>
      <c r="E48" s="13">
        <v>1862.1235434100001</v>
      </c>
      <c r="F48" s="13">
        <v>276.03374444999986</v>
      </c>
      <c r="G48" s="13">
        <v>-270.7061079499997</v>
      </c>
      <c r="H48" s="13">
        <v>17.403412129060744</v>
      </c>
      <c r="I48" s="141">
        <v>-12.692345484665587</v>
      </c>
      <c r="J48" s="170"/>
    </row>
    <row r="49" spans="1:10" ht="11.25">
      <c r="A49" s="158"/>
      <c r="B49" s="56"/>
      <c r="C49" s="43"/>
      <c r="D49" s="43"/>
      <c r="E49" s="43"/>
      <c r="F49" s="43"/>
      <c r="G49" s="43"/>
      <c r="H49" s="43"/>
      <c r="I49" s="141"/>
      <c r="J49" s="170"/>
    </row>
    <row r="50" spans="1:10" ht="11.25">
      <c r="A50" s="158"/>
      <c r="B50" s="43" t="s">
        <v>65</v>
      </c>
      <c r="C50" s="43">
        <v>34050.949632820004</v>
      </c>
      <c r="D50" s="43">
        <v>38099.69429237411</v>
      </c>
      <c r="E50" s="43">
        <v>39335.232174729994</v>
      </c>
      <c r="F50" s="43">
        <v>1235.5378823558858</v>
      </c>
      <c r="G50" s="43">
        <v>5284.28254190999</v>
      </c>
      <c r="H50" s="43">
        <v>3.2429076015005887</v>
      </c>
      <c r="I50" s="50">
        <v>15.518752336988378</v>
      </c>
      <c r="J50" s="170"/>
    </row>
    <row r="51" spans="1:10" ht="11.25">
      <c r="A51" s="158"/>
      <c r="B51" s="55" t="s">
        <v>76</v>
      </c>
      <c r="C51" s="43">
        <v>2205.37366992</v>
      </c>
      <c r="D51" s="43">
        <v>1012.75031262</v>
      </c>
      <c r="E51" s="43">
        <v>837.81169273</v>
      </c>
      <c r="F51" s="43">
        <v>-174.93861989000004</v>
      </c>
      <c r="G51" s="43">
        <v>-1367.5619771899999</v>
      </c>
      <c r="H51" s="43">
        <v>-17.27361795993242</v>
      </c>
      <c r="I51" s="50">
        <v>-62.010442758192916</v>
      </c>
      <c r="J51" s="170"/>
    </row>
    <row r="52" spans="1:10" ht="11.25">
      <c r="A52" s="158"/>
      <c r="B52" s="51" t="s">
        <v>60</v>
      </c>
      <c r="C52" s="13">
        <v>1360.62480568</v>
      </c>
      <c r="D52" s="13">
        <v>360.35761454</v>
      </c>
      <c r="E52" s="13">
        <v>181.82599465</v>
      </c>
      <c r="F52" s="13">
        <v>-178.53161988999997</v>
      </c>
      <c r="G52" s="13">
        <v>-1178.79881103</v>
      </c>
      <c r="H52" s="13">
        <v>-49.54290201912268</v>
      </c>
      <c r="I52" s="141">
        <v>-86.63658093759882</v>
      </c>
      <c r="J52" s="170"/>
    </row>
    <row r="53" spans="1:10" ht="11.25">
      <c r="A53" s="158"/>
      <c r="B53" s="51" t="s">
        <v>61</v>
      </c>
      <c r="C53" s="13">
        <v>100.688</v>
      </c>
      <c r="D53" s="13">
        <v>454.189</v>
      </c>
      <c r="E53" s="13">
        <v>457.782</v>
      </c>
      <c r="F53" s="13">
        <v>3.592999999999961</v>
      </c>
      <c r="G53" s="13">
        <v>357.094</v>
      </c>
      <c r="H53" s="13">
        <v>0.7910803652223988</v>
      </c>
      <c r="I53" s="141">
        <v>354.65398061337993</v>
      </c>
      <c r="J53" s="170"/>
    </row>
    <row r="54" spans="1:10" ht="11.25">
      <c r="A54" s="158"/>
      <c r="B54" s="51" t="s">
        <v>72</v>
      </c>
      <c r="C54" s="13">
        <v>744.06086424</v>
      </c>
      <c r="D54" s="13">
        <v>198.20369808</v>
      </c>
      <c r="E54" s="13">
        <v>198.20369808</v>
      </c>
      <c r="F54" s="13">
        <v>0</v>
      </c>
      <c r="G54" s="13">
        <v>-545.85716616</v>
      </c>
      <c r="H54" s="13">
        <v>0</v>
      </c>
      <c r="I54" s="141">
        <v>-73.36189717726256</v>
      </c>
      <c r="J54" s="170"/>
    </row>
    <row r="55" spans="1:10" ht="11.25">
      <c r="A55" s="158"/>
      <c r="B55" s="51" t="s">
        <v>77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1">
        <v>0</v>
      </c>
      <c r="J55" s="170"/>
    </row>
    <row r="56" spans="1:10" ht="11.25">
      <c r="A56" s="158"/>
      <c r="B56" s="43" t="s">
        <v>78</v>
      </c>
      <c r="C56" s="43">
        <v>31845.575962900002</v>
      </c>
      <c r="D56" s="43">
        <v>37086.943979754105</v>
      </c>
      <c r="E56" s="43">
        <v>38497.420481999994</v>
      </c>
      <c r="F56" s="43">
        <v>1410.4765022458887</v>
      </c>
      <c r="G56" s="43">
        <v>6651.844519099992</v>
      </c>
      <c r="H56" s="43">
        <v>3.8031618431970906</v>
      </c>
      <c r="I56" s="50">
        <v>20.887813512462046</v>
      </c>
      <c r="J56" s="170"/>
    </row>
    <row r="57" spans="1:10" ht="11.25">
      <c r="A57" s="158"/>
      <c r="B57" s="51" t="s">
        <v>79</v>
      </c>
      <c r="C57" s="13">
        <v>20221.37066152</v>
      </c>
      <c r="D57" s="13">
        <v>21676.57355346</v>
      </c>
      <c r="E57" s="13">
        <v>24049.74430562</v>
      </c>
      <c r="F57" s="13">
        <v>2373.17075216</v>
      </c>
      <c r="G57" s="13">
        <v>3828.3736441</v>
      </c>
      <c r="H57" s="13">
        <v>10.94808986442046</v>
      </c>
      <c r="I57" s="141">
        <v>18.93231526280835</v>
      </c>
      <c r="J57" s="170"/>
    </row>
    <row r="58" spans="1:10" ht="11.25">
      <c r="A58" s="158"/>
      <c r="B58" s="57" t="s">
        <v>80</v>
      </c>
      <c r="C58" s="13">
        <v>11727.1878259</v>
      </c>
      <c r="D58" s="13">
        <v>12546.8501372</v>
      </c>
      <c r="E58" s="13">
        <v>14865.81276651</v>
      </c>
      <c r="F58" s="13">
        <v>2318.962629310001</v>
      </c>
      <c r="G58" s="13">
        <v>3138.6249406099996</v>
      </c>
      <c r="H58" s="13">
        <v>18.48242868889091</v>
      </c>
      <c r="I58" s="141">
        <v>26.763662245420942</v>
      </c>
      <c r="J58" s="170"/>
    </row>
    <row r="59" spans="1:10" ht="11.25">
      <c r="A59" s="158"/>
      <c r="B59" s="57" t="s">
        <v>77</v>
      </c>
      <c r="C59" s="13">
        <v>8494.18283562</v>
      </c>
      <c r="D59" s="13">
        <v>9129.72341626</v>
      </c>
      <c r="E59" s="13">
        <v>9183.93153911</v>
      </c>
      <c r="F59" s="13">
        <v>54.20812285000102</v>
      </c>
      <c r="G59" s="13">
        <v>689.7487034900005</v>
      </c>
      <c r="H59" s="13">
        <v>0.5937542724838364</v>
      </c>
      <c r="I59" s="141">
        <v>8.120247901864888</v>
      </c>
      <c r="J59" s="170"/>
    </row>
    <row r="60" spans="1:10" ht="11.25">
      <c r="A60" s="158"/>
      <c r="B60" s="51" t="s">
        <v>150</v>
      </c>
      <c r="C60" s="13">
        <v>441.60799999999995</v>
      </c>
      <c r="D60" s="13">
        <v>1293.0436434399999</v>
      </c>
      <c r="E60" s="13">
        <v>1194.860731</v>
      </c>
      <c r="F60" s="13">
        <v>-98.18291243999988</v>
      </c>
      <c r="G60" s="13">
        <v>753.252731</v>
      </c>
      <c r="H60" s="13">
        <v>-7.593163072113721</v>
      </c>
      <c r="I60" s="141">
        <v>170.5704450553432</v>
      </c>
      <c r="J60" s="170"/>
    </row>
    <row r="61" spans="1:10" ht="11.25">
      <c r="A61" s="158"/>
      <c r="B61" s="51" t="s">
        <v>124</v>
      </c>
      <c r="C61" s="13">
        <v>7.981830309999999</v>
      </c>
      <c r="D61" s="13">
        <v>5.868</v>
      </c>
      <c r="E61" s="13">
        <v>5.868</v>
      </c>
      <c r="F61" s="13">
        <v>0</v>
      </c>
      <c r="G61" s="13">
        <v>-2.113830309999999</v>
      </c>
      <c r="H61" s="13">
        <v>0</v>
      </c>
      <c r="I61" s="141">
        <v>0</v>
      </c>
      <c r="J61" s="170"/>
    </row>
    <row r="62" spans="1:10" ht="11.25">
      <c r="A62" s="158"/>
      <c r="B62" s="51" t="s">
        <v>125</v>
      </c>
      <c r="C62" s="13">
        <v>3864.947</v>
      </c>
      <c r="D62" s="13">
        <v>5135.5239715</v>
      </c>
      <c r="E62" s="13">
        <v>5314.2613576700005</v>
      </c>
      <c r="F62" s="13">
        <v>178.73738617000072</v>
      </c>
      <c r="G62" s="13">
        <v>1449.3143576700004</v>
      </c>
      <c r="H62" s="13">
        <v>3.4804118754370172</v>
      </c>
      <c r="I62" s="141">
        <v>37.49894520338831</v>
      </c>
      <c r="J62" s="170"/>
    </row>
    <row r="63" spans="1:10" ht="11.25">
      <c r="A63" s="158"/>
      <c r="B63" s="51" t="s">
        <v>126</v>
      </c>
      <c r="C63" s="13">
        <v>697.42835167</v>
      </c>
      <c r="D63" s="13">
        <v>471.56579674000005</v>
      </c>
      <c r="E63" s="13">
        <v>478.96681358000006</v>
      </c>
      <c r="F63" s="13">
        <v>7.401016840000011</v>
      </c>
      <c r="G63" s="13">
        <v>-218.46153808999992</v>
      </c>
      <c r="H63" s="13">
        <v>1.5694558195620358</v>
      </c>
      <c r="I63" s="141">
        <v>-31.323868260716864</v>
      </c>
      <c r="J63" s="170"/>
    </row>
    <row r="64" spans="1:10" ht="11.25">
      <c r="A64" s="158"/>
      <c r="B64" s="51" t="s">
        <v>127</v>
      </c>
      <c r="C64" s="13">
        <v>795.8040000000001</v>
      </c>
      <c r="D64" s="13">
        <v>1960.13921805</v>
      </c>
      <c r="E64" s="13">
        <v>813.10485799</v>
      </c>
      <c r="F64" s="13">
        <v>-1147.03436006</v>
      </c>
      <c r="G64" s="13">
        <v>17.30085798999994</v>
      </c>
      <c r="H64" s="13">
        <v>-58.51800471606813</v>
      </c>
      <c r="I64" s="141">
        <v>2.174009930837234</v>
      </c>
      <c r="J64" s="170"/>
    </row>
    <row r="65" spans="1:10" ht="11.25">
      <c r="A65" s="158"/>
      <c r="B65" s="51" t="s">
        <v>72</v>
      </c>
      <c r="C65" s="13">
        <v>5.615</v>
      </c>
      <c r="D65" s="13">
        <v>5.007</v>
      </c>
      <c r="E65" s="13">
        <v>4.923</v>
      </c>
      <c r="F65" s="13">
        <v>-0.08399999999999963</v>
      </c>
      <c r="G65" s="13">
        <v>-0.6920000000000002</v>
      </c>
      <c r="H65" s="13">
        <v>-1.6776512881965175</v>
      </c>
      <c r="I65" s="141">
        <v>-14.05646963233801</v>
      </c>
      <c r="J65" s="170"/>
    </row>
    <row r="66" spans="1:10" ht="11.25">
      <c r="A66" s="158"/>
      <c r="B66" s="51" t="s">
        <v>96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1">
        <v>0</v>
      </c>
      <c r="J66" s="170"/>
    </row>
    <row r="67" spans="1:10" ht="11.25">
      <c r="A67" s="158"/>
      <c r="B67" s="51" t="s">
        <v>69</v>
      </c>
      <c r="C67" s="13">
        <v>4313.6066794299995</v>
      </c>
      <c r="D67" s="13">
        <v>4634.48183778</v>
      </c>
      <c r="E67" s="13">
        <v>4691.38562871</v>
      </c>
      <c r="F67" s="13">
        <v>56.90379092999956</v>
      </c>
      <c r="G67" s="13">
        <v>377.77894928000023</v>
      </c>
      <c r="H67" s="13">
        <v>1.2278350184938365</v>
      </c>
      <c r="I67" s="141">
        <v>8.757844128012152</v>
      </c>
      <c r="J67" s="170"/>
    </row>
    <row r="68" spans="1:10" ht="11.25">
      <c r="A68" s="158"/>
      <c r="B68" s="51" t="s">
        <v>128</v>
      </c>
      <c r="C68" s="13">
        <v>1498.14047527</v>
      </c>
      <c r="D68" s="13">
        <v>1904.73040109</v>
      </c>
      <c r="E68" s="13">
        <v>1943.39737072</v>
      </c>
      <c r="F68" s="13">
        <v>38.66696963000004</v>
      </c>
      <c r="G68" s="13">
        <v>445.25689545</v>
      </c>
      <c r="H68" s="13">
        <v>2.030049481431729</v>
      </c>
      <c r="I68" s="141">
        <v>29.720637203247197</v>
      </c>
      <c r="J68" s="170"/>
    </row>
    <row r="69" spans="1:10" ht="11.25" hidden="1">
      <c r="A69" s="158"/>
      <c r="B69" s="51" t="s">
        <v>129</v>
      </c>
      <c r="C69" s="13">
        <v>-0.9260353000000753</v>
      </c>
      <c r="D69" s="13">
        <v>0.010557694109536442</v>
      </c>
      <c r="E69" s="13">
        <v>0.90841671000004</v>
      </c>
      <c r="F69" s="13">
        <v>0.8978590158905035</v>
      </c>
      <c r="G69" s="13">
        <v>-0.010557694109536442</v>
      </c>
      <c r="H69" s="13">
        <v>8504.309810221675</v>
      </c>
      <c r="I69" s="141">
        <v>1.1400962910955537</v>
      </c>
      <c r="J69" s="170"/>
    </row>
    <row r="70" spans="1:10" ht="12" customHeight="1" hidden="1">
      <c r="A70" s="158"/>
      <c r="B70" s="51" t="s">
        <v>129</v>
      </c>
      <c r="C70" s="13"/>
      <c r="D70" s="13"/>
      <c r="E70" s="13"/>
      <c r="F70" s="13"/>
      <c r="G70" s="13"/>
      <c r="H70" s="13"/>
      <c r="I70" s="13"/>
      <c r="J70" s="170"/>
    </row>
    <row r="71" spans="1:10" ht="12" customHeight="1" hidden="1" thickBot="1">
      <c r="A71" s="158"/>
      <c r="B71" s="13"/>
      <c r="C71" s="45">
        <v>-0.00026830013666767627</v>
      </c>
      <c r="D71" s="45"/>
      <c r="E71" s="45">
        <v>-0.00026830013666767627</v>
      </c>
      <c r="F71" s="45"/>
      <c r="G71" s="45">
        <v>-0.0004651664348784834</v>
      </c>
      <c r="H71" s="45"/>
      <c r="I71" s="45">
        <v>-1.2624493881396859E-06</v>
      </c>
      <c r="J71" s="170"/>
    </row>
    <row r="72" spans="1:10" ht="12" customHeight="1">
      <c r="A72" s="158"/>
      <c r="B72" s="13"/>
      <c r="C72" s="72"/>
      <c r="D72" s="72"/>
      <c r="E72" s="72"/>
      <c r="F72" s="72"/>
      <c r="G72" s="43"/>
      <c r="H72" s="43"/>
      <c r="I72" s="43"/>
      <c r="J72" s="170"/>
    </row>
    <row r="73" spans="1:10" ht="12" customHeight="1">
      <c r="A73" s="158"/>
      <c r="B73" s="171"/>
      <c r="C73" s="172"/>
      <c r="D73" s="172"/>
      <c r="E73" s="172"/>
      <c r="F73" s="172"/>
      <c r="G73" s="140"/>
      <c r="H73" s="140"/>
      <c r="I73" s="173"/>
      <c r="J73" s="170"/>
    </row>
    <row r="74" ht="11.25">
      <c r="B74" s="71"/>
    </row>
    <row r="75" ht="11.25">
      <c r="B75" s="67"/>
    </row>
    <row r="76" ht="12" thickBot="1">
      <c r="B76" s="67"/>
    </row>
    <row r="77" spans="2:10" ht="11.25">
      <c r="B77" s="244" t="s">
        <v>143</v>
      </c>
      <c r="C77" s="245"/>
      <c r="D77" s="245"/>
      <c r="E77" s="245"/>
      <c r="F77" s="245"/>
      <c r="G77" s="245"/>
      <c r="H77" s="245"/>
      <c r="I77" s="246"/>
      <c r="J77" s="170"/>
    </row>
    <row r="78" spans="2:10" ht="11.25">
      <c r="B78" s="247" t="s">
        <v>89</v>
      </c>
      <c r="C78" s="248"/>
      <c r="D78" s="248"/>
      <c r="E78" s="248"/>
      <c r="F78" s="248"/>
      <c r="G78" s="248"/>
      <c r="H78" s="248"/>
      <c r="I78" s="249"/>
      <c r="J78" s="170"/>
    </row>
    <row r="79" spans="2:10" ht="11.25">
      <c r="B79" s="159"/>
      <c r="C79" s="157"/>
      <c r="D79" s="49"/>
      <c r="E79" s="157"/>
      <c r="F79" s="250" t="s">
        <v>91</v>
      </c>
      <c r="G79" s="251"/>
      <c r="H79" s="250" t="s">
        <v>161</v>
      </c>
      <c r="I79" s="251"/>
      <c r="J79" s="170"/>
    </row>
    <row r="80" spans="2:10" ht="11.25">
      <c r="B80" s="160"/>
      <c r="C80" s="12">
        <v>38926</v>
      </c>
      <c r="D80" s="156">
        <v>39263</v>
      </c>
      <c r="E80" s="12">
        <v>39293</v>
      </c>
      <c r="F80" s="12" t="s">
        <v>164</v>
      </c>
      <c r="G80" s="126" t="s">
        <v>162</v>
      </c>
      <c r="H80" s="126" t="s">
        <v>164</v>
      </c>
      <c r="I80" s="184" t="s">
        <v>162</v>
      </c>
      <c r="J80" s="170"/>
    </row>
    <row r="81" spans="2:12" ht="11.25">
      <c r="B81" s="176" t="s">
        <v>58</v>
      </c>
      <c r="C81" s="43">
        <v>31835.317673840007</v>
      </c>
      <c r="D81" s="43">
        <v>36645.293979191105</v>
      </c>
      <c r="E81" s="43">
        <v>39544.072968780005</v>
      </c>
      <c r="F81" s="43">
        <v>2898.7789895889</v>
      </c>
      <c r="G81" s="43">
        <v>7708.755294939998</v>
      </c>
      <c r="H81" s="43">
        <v>7.910371768977924</v>
      </c>
      <c r="I81" s="162">
        <v>24.214475802999456</v>
      </c>
      <c r="J81" s="174"/>
      <c r="K81" s="69"/>
      <c r="L81" s="68"/>
    </row>
    <row r="82" spans="2:12" ht="11.25">
      <c r="B82" s="176" t="s">
        <v>1</v>
      </c>
      <c r="C82" s="43">
        <v>2295.9110635600005</v>
      </c>
      <c r="D82" s="43">
        <v>6949.750272874107</v>
      </c>
      <c r="E82" s="43">
        <v>9292.82372747</v>
      </c>
      <c r="F82" s="43">
        <v>2343.073454595893</v>
      </c>
      <c r="G82" s="43">
        <v>6996.9126639099995</v>
      </c>
      <c r="H82" s="43">
        <v>33.71449854451967</v>
      </c>
      <c r="I82" s="162">
        <v>304.7553877396586</v>
      </c>
      <c r="J82" s="174"/>
      <c r="K82" s="69"/>
      <c r="L82" s="68"/>
    </row>
    <row r="83" spans="2:11" ht="11.25">
      <c r="B83" s="176" t="s">
        <v>81</v>
      </c>
      <c r="C83" s="43">
        <v>27185.637643240003</v>
      </c>
      <c r="D83" s="43">
        <v>27793.35149304</v>
      </c>
      <c r="E83" s="43">
        <v>28172.323417350002</v>
      </c>
      <c r="F83" s="43">
        <v>378.97192431000076</v>
      </c>
      <c r="G83" s="43">
        <v>986.6857741099993</v>
      </c>
      <c r="H83" s="43">
        <v>1.3635344568103014</v>
      </c>
      <c r="I83" s="162">
        <v>3.629437672415049</v>
      </c>
      <c r="J83" s="175"/>
      <c r="K83" s="70"/>
    </row>
    <row r="84" spans="2:11" ht="11.25">
      <c r="B84" s="177" t="s">
        <v>130</v>
      </c>
      <c r="C84" s="13">
        <v>-369.36468526</v>
      </c>
      <c r="D84" s="13">
        <v>-2892.46073869</v>
      </c>
      <c r="E84" s="13">
        <v>-2590.2533783600006</v>
      </c>
      <c r="F84" s="13">
        <v>302.2073603299996</v>
      </c>
      <c r="G84" s="13">
        <v>-2220.8886931000006</v>
      </c>
      <c r="H84" s="13">
        <v>-10.448105873577726</v>
      </c>
      <c r="I84" s="164">
        <v>601.2726126041779</v>
      </c>
      <c r="J84" s="175"/>
      <c r="K84" s="70"/>
    </row>
    <row r="85" spans="2:11" ht="11.25">
      <c r="B85" s="177" t="s">
        <v>82</v>
      </c>
      <c r="C85" s="13">
        <v>27555.002328500002</v>
      </c>
      <c r="D85" s="13">
        <v>30685.81223173</v>
      </c>
      <c r="E85" s="13">
        <v>30762.576795710003</v>
      </c>
      <c r="F85" s="13">
        <v>76.764563980003</v>
      </c>
      <c r="G85" s="13">
        <v>3207.574467210001</v>
      </c>
      <c r="H85" s="13">
        <v>0.2501630505990852</v>
      </c>
      <c r="I85" s="164">
        <v>11.64062491801143</v>
      </c>
      <c r="J85" s="175"/>
      <c r="K85" s="70"/>
    </row>
    <row r="86" spans="2:11" ht="11.25">
      <c r="B86" s="178" t="s">
        <v>131</v>
      </c>
      <c r="C86" s="13">
        <v>625.327</v>
      </c>
      <c r="D86" s="13">
        <v>1067.661</v>
      </c>
      <c r="E86" s="13">
        <v>983.649</v>
      </c>
      <c r="F86" s="13">
        <v>-84.01200000000006</v>
      </c>
      <c r="G86" s="13">
        <v>358.322</v>
      </c>
      <c r="H86" s="13">
        <v>-7.868789812496669</v>
      </c>
      <c r="I86" s="164">
        <v>0</v>
      </c>
      <c r="J86" s="175"/>
      <c r="K86" s="70"/>
    </row>
    <row r="87" spans="2:11" ht="11.25">
      <c r="B87" s="178" t="s">
        <v>132</v>
      </c>
      <c r="C87" s="13">
        <v>20.806</v>
      </c>
      <c r="D87" s="13">
        <v>27.021</v>
      </c>
      <c r="E87" s="13">
        <v>40.36</v>
      </c>
      <c r="F87" s="13">
        <v>13.338999999999999</v>
      </c>
      <c r="G87" s="13">
        <v>19.554</v>
      </c>
      <c r="H87" s="13">
        <v>49.365308463787414</v>
      </c>
      <c r="I87" s="164">
        <v>93.98250504662116</v>
      </c>
      <c r="J87" s="175"/>
      <c r="K87" s="70"/>
    </row>
    <row r="88" spans="2:11" ht="11.25">
      <c r="B88" s="178" t="s">
        <v>133</v>
      </c>
      <c r="C88" s="13">
        <v>402.979</v>
      </c>
      <c r="D88" s="13">
        <v>415.22499999999997</v>
      </c>
      <c r="E88" s="13">
        <v>380.11699999999996</v>
      </c>
      <c r="F88" s="13">
        <v>-35.108000000000004</v>
      </c>
      <c r="G88" s="13">
        <v>-22.862000000000023</v>
      </c>
      <c r="H88" s="13">
        <v>-8.455174905171896</v>
      </c>
      <c r="I88" s="164">
        <v>-5.673248481930826</v>
      </c>
      <c r="J88" s="175"/>
      <c r="K88" s="70"/>
    </row>
    <row r="89" spans="2:11" ht="11.25">
      <c r="B89" s="178" t="s">
        <v>134</v>
      </c>
      <c r="C89" s="13">
        <v>9385.065999999999</v>
      </c>
      <c r="D89" s="13">
        <v>9878.03873034</v>
      </c>
      <c r="E89" s="13">
        <v>9915.000863750001</v>
      </c>
      <c r="F89" s="13">
        <v>36.962133410001115</v>
      </c>
      <c r="G89" s="13">
        <v>529.9348637500025</v>
      </c>
      <c r="H89" s="13">
        <v>0.3741849411510546</v>
      </c>
      <c r="I89" s="164">
        <v>5.646575780607217</v>
      </c>
      <c r="J89" s="175"/>
      <c r="K89" s="70"/>
    </row>
    <row r="90" spans="2:11" ht="11.25">
      <c r="B90" s="178" t="s">
        <v>135</v>
      </c>
      <c r="C90" s="13">
        <v>17120.824328500003</v>
      </c>
      <c r="D90" s="13">
        <v>19297.86650139</v>
      </c>
      <c r="E90" s="13">
        <v>19443.44993196</v>
      </c>
      <c r="F90" s="13">
        <v>145.58343057000093</v>
      </c>
      <c r="G90" s="13">
        <v>2322.6256034599974</v>
      </c>
      <c r="H90" s="13">
        <v>0.7544016876659124</v>
      </c>
      <c r="I90" s="164">
        <v>13.566085130572029</v>
      </c>
      <c r="J90" s="175"/>
      <c r="K90" s="70"/>
    </row>
    <row r="91" spans="2:12" ht="11.25">
      <c r="B91" s="179" t="s">
        <v>75</v>
      </c>
      <c r="C91" s="13">
        <v>2287.36896704</v>
      </c>
      <c r="D91" s="13">
        <v>1902.192213277</v>
      </c>
      <c r="E91" s="13">
        <v>2078.9258239600003</v>
      </c>
      <c r="F91" s="13">
        <v>176.73361068300028</v>
      </c>
      <c r="G91" s="13">
        <v>-208.44314307999957</v>
      </c>
      <c r="H91" s="13">
        <v>9.291049003850805</v>
      </c>
      <c r="I91" s="164">
        <v>-9.11279055034738</v>
      </c>
      <c r="J91" s="174"/>
      <c r="K91" s="69"/>
      <c r="L91" s="68"/>
    </row>
    <row r="92" spans="2:11" ht="11.25">
      <c r="B92" s="179"/>
      <c r="C92" s="13"/>
      <c r="D92" s="13"/>
      <c r="E92" s="13"/>
      <c r="F92" s="13"/>
      <c r="G92" s="43"/>
      <c r="H92" s="43"/>
      <c r="I92" s="162"/>
      <c r="J92" s="175"/>
      <c r="K92" s="70"/>
    </row>
    <row r="93" spans="2:12" ht="11.25">
      <c r="B93" s="176" t="s">
        <v>65</v>
      </c>
      <c r="C93" s="43">
        <v>31835.34025131</v>
      </c>
      <c r="D93" s="43">
        <v>36645.3479118541</v>
      </c>
      <c r="E93" s="43">
        <v>39544.160748123</v>
      </c>
      <c r="F93" s="43">
        <v>2898.812836268902</v>
      </c>
      <c r="G93" s="43">
        <v>7708.820496813001</v>
      </c>
      <c r="H93" s="43">
        <v>7.910452489744787</v>
      </c>
      <c r="I93" s="162">
        <v>24.2146634399354</v>
      </c>
      <c r="J93" s="174"/>
      <c r="K93" s="69"/>
      <c r="L93" s="68"/>
    </row>
    <row r="94" spans="2:11" ht="11.25">
      <c r="B94" s="176" t="s">
        <v>83</v>
      </c>
      <c r="C94" s="43">
        <v>20972.95697142</v>
      </c>
      <c r="D94" s="43">
        <v>22497.223645439994</v>
      </c>
      <c r="E94" s="43">
        <v>24854.52470246</v>
      </c>
      <c r="F94" s="43">
        <v>2357.301057020006</v>
      </c>
      <c r="G94" s="43">
        <v>3881.5677310399988</v>
      </c>
      <c r="H94" s="43">
        <v>10.478186527242048</v>
      </c>
      <c r="I94" s="162">
        <v>18.507489126733244</v>
      </c>
      <c r="J94" s="175"/>
      <c r="K94" s="70"/>
    </row>
    <row r="95" spans="2:11" ht="11.25">
      <c r="B95" s="177" t="s">
        <v>149</v>
      </c>
      <c r="C95" s="13">
        <v>727.4090887499999</v>
      </c>
      <c r="D95" s="13">
        <v>814.52121255</v>
      </c>
      <c r="E95" s="13">
        <v>794.7948245099999</v>
      </c>
      <c r="F95" s="13">
        <v>-19.726388040000074</v>
      </c>
      <c r="G95" s="13">
        <v>67.38573575999999</v>
      </c>
      <c r="H95" s="13">
        <v>-2.4218384660901826</v>
      </c>
      <c r="I95" s="164">
        <v>9.263801731677221</v>
      </c>
      <c r="J95" s="175"/>
      <c r="K95" s="70"/>
    </row>
    <row r="96" spans="2:11" ht="11.25">
      <c r="B96" s="177" t="s">
        <v>84</v>
      </c>
      <c r="C96" s="13">
        <v>11743.383216740001</v>
      </c>
      <c r="D96" s="13">
        <v>12547.111016629997</v>
      </c>
      <c r="E96" s="13">
        <v>14869.93033884</v>
      </c>
      <c r="F96" s="13">
        <v>2322.8193222100035</v>
      </c>
      <c r="G96" s="13">
        <v>3126.547122099999</v>
      </c>
      <c r="H96" s="13">
        <v>18.5127820988539</v>
      </c>
      <c r="I96" s="164">
        <v>26.62390440978846</v>
      </c>
      <c r="J96" s="175"/>
      <c r="K96" s="70"/>
    </row>
    <row r="97" spans="2:11" ht="11.25">
      <c r="B97" s="177" t="s">
        <v>85</v>
      </c>
      <c r="C97" s="13">
        <v>8494.18283562</v>
      </c>
      <c r="D97" s="13">
        <v>9129.72341626</v>
      </c>
      <c r="E97" s="13">
        <v>9183.93153911</v>
      </c>
      <c r="F97" s="13">
        <v>54.20812285000102</v>
      </c>
      <c r="G97" s="13">
        <v>689.7487034900005</v>
      </c>
      <c r="H97" s="13">
        <v>0.5937542724838364</v>
      </c>
      <c r="I97" s="164">
        <v>8.120247901864888</v>
      </c>
      <c r="J97" s="175"/>
      <c r="K97" s="70"/>
    </row>
    <row r="98" spans="2:11" ht="11.25">
      <c r="B98" s="177" t="s">
        <v>148</v>
      </c>
      <c r="C98" s="13">
        <v>7.981830309999999</v>
      </c>
      <c r="D98" s="13">
        <v>5.868</v>
      </c>
      <c r="E98" s="13">
        <v>5.868</v>
      </c>
      <c r="F98" s="13">
        <v>0</v>
      </c>
      <c r="G98" s="13">
        <v>-2.113830309999999</v>
      </c>
      <c r="H98" s="13">
        <v>0</v>
      </c>
      <c r="I98" s="164">
        <v>-26.483027424821305</v>
      </c>
      <c r="J98" s="175"/>
      <c r="K98" s="70"/>
    </row>
    <row r="99" spans="2:12" ht="11.25">
      <c r="B99" s="179" t="s">
        <v>86</v>
      </c>
      <c r="C99" s="13">
        <v>10870.3651102</v>
      </c>
      <c r="D99" s="13">
        <v>14153.99226641411</v>
      </c>
      <c r="E99" s="13">
        <v>14695.504045663003</v>
      </c>
      <c r="F99" s="13">
        <v>541.5117792488927</v>
      </c>
      <c r="G99" s="13">
        <v>3825.138935463003</v>
      </c>
      <c r="H99" s="13">
        <v>3.825858945350998</v>
      </c>
      <c r="I99" s="164">
        <v>35.18868866579059</v>
      </c>
      <c r="J99" s="174"/>
      <c r="K99" s="69"/>
      <c r="L99" s="68"/>
    </row>
    <row r="100" spans="2:11" ht="11.25">
      <c r="B100" s="180"/>
      <c r="C100" s="181"/>
      <c r="D100" s="181"/>
      <c r="E100" s="181"/>
      <c r="F100" s="181"/>
      <c r="G100" s="140"/>
      <c r="H100" s="140"/>
      <c r="I100" s="169"/>
      <c r="J100" s="175"/>
      <c r="K100" s="70"/>
    </row>
    <row r="101" spans="2:9" ht="12" hidden="1" thickBot="1">
      <c r="B101" s="44" t="s">
        <v>87</v>
      </c>
      <c r="C101" s="45">
        <v>-0.002186002311646007</v>
      </c>
      <c r="D101" s="45"/>
      <c r="E101" s="45">
        <v>-0.052496489850454964</v>
      </c>
      <c r="F101" s="45"/>
      <c r="G101" s="45">
        <v>-0.05031048753880896</v>
      </c>
      <c r="H101" s="45"/>
      <c r="I101" s="45">
        <v>-0.00013978667906000553</v>
      </c>
    </row>
    <row r="102" spans="2:9" ht="11.25">
      <c r="B102" s="34"/>
      <c r="C102" s="34"/>
      <c r="D102" s="34"/>
      <c r="E102" s="34"/>
      <c r="F102" s="34"/>
      <c r="G102" s="34"/>
      <c r="H102" s="34"/>
      <c r="I102" s="34"/>
    </row>
  </sheetData>
  <sheetProtection/>
  <mergeCells count="12">
    <mergeCell ref="F79:G79"/>
    <mergeCell ref="H79:I79"/>
    <mergeCell ref="B2:I2"/>
    <mergeCell ref="B3:I3"/>
    <mergeCell ref="B77:I77"/>
    <mergeCell ref="B78:I78"/>
    <mergeCell ref="B30:I30"/>
    <mergeCell ref="B31:I31"/>
    <mergeCell ref="F4:G4"/>
    <mergeCell ref="H4:I4"/>
    <mergeCell ref="F32:G32"/>
    <mergeCell ref="H32:I32"/>
  </mergeCells>
  <printOptions/>
  <pageMargins left="0.75" right="0.75" top="1" bottom="1" header="0.5" footer="0.5"/>
  <pageSetup fitToHeight="2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2007-09-05T06:22:02Z</cp:lastPrinted>
  <dcterms:created xsi:type="dcterms:W3CDTF">1999-07-02T10:21:54Z</dcterms:created>
  <dcterms:modified xsi:type="dcterms:W3CDTF">2007-09-06T10:26:41Z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