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635" windowWidth="12990" windowHeight="5865" tabRatio="616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'S2'!$A$4:$Q$60</definedName>
    <definedName name="_xlnm.Print_Area" localSheetId="3">'S3'!$A$4:$R$86</definedName>
    <definedName name="_xlnm.Print_Area" localSheetId="4">'S4'!$A$1:$C$88</definedName>
    <definedName name="_xlnm.Print_Area" localSheetId="5">'S5'!$A$4:$P$66</definedName>
    <definedName name="_xlnm.Print_Area" localSheetId="6">'S6'!$B$4:$CF$20</definedName>
    <definedName name="_xlnm.Print_Area" localSheetId="7">'S7'!$A$4:$R$68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'S2'!$A$1:$L$24</definedName>
    <definedName name="Z_1119964D_FB32_11D4_9C51_0090277BCB1A_.wvu.PrintArea" localSheetId="4" hidden="1">'S4'!$A$2:$A$85</definedName>
    <definedName name="Z_1119964D_FB32_11D4_9C51_0090277BCB1A_.wvu.PrintArea" localSheetId="5" hidden="1">'S5'!$A$1:$J$41</definedName>
    <definedName name="Z_1119964D_FB32_11D4_9C51_0090277BCB1A_.wvu.PrintArea" localSheetId="6" hidden="1">'S6'!$B$2:$B$20</definedName>
    <definedName name="Z_1119964D_FB32_11D4_9C51_0090277BCB1A_.wvu.PrintArea" localSheetId="7" hidden="1">'S7'!$A$1:$J$60</definedName>
    <definedName name="Z_4BE07961_847F_11D4_A83A_00D0B7747A8F_.wvu.PrintArea" localSheetId="2" hidden="1">'S2'!$A$1:$L$24</definedName>
    <definedName name="Z_4BE07961_847F_11D4_A83A_00D0B7747A8F_.wvu.PrintArea" localSheetId="4" hidden="1">'S4'!$A$2:$A$85</definedName>
    <definedName name="Z_4BE07961_847F_11D4_A83A_00D0B7747A8F_.wvu.PrintArea" localSheetId="5" hidden="1">'S5'!$A$1:$J$41</definedName>
    <definedName name="Z_4BE07961_847F_11D4_A83A_00D0B7747A8F_.wvu.PrintArea" localSheetId="7" hidden="1">'S7'!$A$1:$J$60</definedName>
    <definedName name="Z_5050E6E2_8401_11D4_81A4_00608C91AED9_.wvu.Cols" localSheetId="6" hidden="1">'S6'!$B:$B</definedName>
    <definedName name="Z_5050E6E2_8401_11D4_81A4_00608C91AED9_.wvu.PrintArea" localSheetId="2" hidden="1">'S2'!$A$1:$L$24</definedName>
    <definedName name="Z_5050E6E2_8401_11D4_81A4_00608C91AED9_.wvu.PrintArea" localSheetId="4" hidden="1">'S4'!$A$2:$A$85</definedName>
    <definedName name="Z_5050E6E2_8401_11D4_81A4_00608C91AED9_.wvu.PrintArea" localSheetId="5" hidden="1">'S5'!$A$1:$J$41</definedName>
    <definedName name="Z_5050E6E2_8401_11D4_81A4_00608C91AED9_.wvu.PrintArea" localSheetId="6" hidden="1">'S6'!$B$2:$B$21</definedName>
    <definedName name="Z_5050E6E2_8401_11D4_81A4_00608C91AED9_.wvu.PrintArea" localSheetId="7" hidden="1">'S7'!$A$1:$I$60</definedName>
  </definedNames>
  <calcPr fullCalcOnLoad="1"/>
</workbook>
</file>

<file path=xl/sharedStrings.xml><?xml version="1.0" encoding="utf-8"?>
<sst xmlns="http://schemas.openxmlformats.org/spreadsheetml/2006/main" count="258" uniqueCount="172">
  <si>
    <t>Trade credit and advances</t>
  </si>
  <si>
    <t>Net Foreign Assets</t>
  </si>
  <si>
    <t>Money Market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</si>
  <si>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</si>
  <si>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</si>
  <si>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</si>
  <si>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</si>
  <si>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</si>
  <si>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</si>
  <si>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</si>
  <si>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</si>
  <si>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</si>
  <si>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</si>
  <si>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</si>
  <si>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</si>
  <si>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</si>
  <si>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</si>
  <si>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</si>
  <si>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</si>
  <si>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</si>
  <si>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</si>
  <si>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</si>
  <si>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</si>
  <si>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</si>
  <si>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</si>
  <si>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</si>
  <si>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</si>
  <si>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</si>
  <si>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</si>
  <si>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</si>
  <si>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</si>
  <si>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</si>
  <si>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</si>
  <si>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</si>
  <si>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</si>
  <si>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</si>
  <si>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</si>
  <si>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</si>
  <si>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</si>
  <si>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</si>
  <si>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</si>
  <si>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</si>
  <si>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</si>
  <si>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</si>
  <si>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</si>
  <si>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</si>
  <si>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</si>
  <si>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</si>
  <si>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</si>
  <si>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</si>
  <si>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</si>
  <si>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</si>
  <si>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</si>
  <si>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</si>
  <si>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</si>
  <si>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</si>
  <si>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</si>
  <si>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</si>
  <si>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</si>
  <si>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</si>
  <si>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</si>
  <si>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</si>
  <si>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</si>
  <si>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</si>
  <si>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</si>
  <si>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</si>
  <si>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</si>
  <si>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</si>
  <si>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</si>
  <si>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</si>
  <si>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</si>
  <si>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</si>
  <si>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</si>
  <si>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</si>
  <si>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</si>
  <si>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</si>
  <si>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</si>
  <si>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</si>
  <si>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</si>
  <si>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</si>
  <si>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</si>
  <si>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</si>
  <si>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</si>
  <si>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</si>
  <si>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</si>
  <si>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</si>
  <si>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</si>
  <si>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</si>
  <si>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</si>
  <si>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</si>
  <si>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</si>
  <si>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</si>
  <si>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</si>
  <si>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</si>
  <si>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</si>
  <si>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</si>
  <si>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</si>
  <si>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</si>
  <si>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</si>
  <si>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</si>
  <si>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</si>
  <si>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</si>
  <si>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</si>
  <si>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</si>
  <si>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</si>
  <si>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</si>
  <si>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>*  The consumer price inflation is based on the NCPI (nation wide CPI)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</si>
  <si>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</si>
  <si>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</si>
  <si>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</si>
  <si>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</si>
  <si>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</si>
  <si>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</si>
  <si>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</si>
  <si>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</si>
  <si>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</si>
  <si>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</si>
  <si>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</si>
  <si>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</si>
  <si>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</si>
  <si>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</si>
  <si>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>*Other sector = Private sector</t>
  </si>
  <si>
    <t>Other resident sectors (Individuals)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</si>
  <si>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</si>
  <si>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</si>
  <si>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</si>
  <si>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</si>
  <si>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</si>
  <si>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</si>
  <si>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>Domestic claims vs claims on other sectors (annual percentage changes)</t>
  </si>
  <si>
    <t>DevX</t>
  </si>
  <si>
    <t xml:space="preserve">    volume [000 shares]</t>
  </si>
  <si>
    <t>Unclassified shares and other equity</t>
  </si>
  <si>
    <t>Claims on other sectors</t>
  </si>
  <si>
    <t>State and local government</t>
  </si>
  <si>
    <t>Net Claims on central Government</t>
  </si>
  <si>
    <t>Public nonfinancial corporations</t>
  </si>
  <si>
    <t>Other nonfinancial corporations</t>
  </si>
  <si>
    <t>Total Claims on the Private Sector</t>
  </si>
  <si>
    <t>Other nonfinancial corporations (Businesses)</t>
  </si>
  <si>
    <t>Claims on nonresidents</t>
  </si>
  <si>
    <t>Liabilities to central government</t>
  </si>
  <si>
    <t>Other non financial corporations</t>
  </si>
  <si>
    <t>Other Assets</t>
  </si>
  <si>
    <t>Securities other than shars</t>
  </si>
  <si>
    <t>Deposits excluded from M2</t>
  </si>
  <si>
    <t>Financial Derivatives</t>
  </si>
  <si>
    <t>Shares and Equity</t>
  </si>
  <si>
    <t>Net Claims on the Central Government</t>
  </si>
  <si>
    <t>Claims on other Sectors</t>
  </si>
  <si>
    <t>Currency Outside Depository Corporations</t>
  </si>
  <si>
    <t>Transferable Deposits</t>
  </si>
  <si>
    <t>Other Deposits</t>
  </si>
  <si>
    <t>Other Liabilities</t>
  </si>
  <si>
    <t>Annual inflation (Namibia vs South Africa)</t>
  </si>
  <si>
    <t>EU per NAD</t>
  </si>
  <si>
    <t>One Month</t>
  </si>
  <si>
    <t>One Year</t>
  </si>
  <si>
    <t xml:space="preserve">  Namibia Stock Exchange</t>
  </si>
  <si>
    <t>Repo Rate [%]</t>
  </si>
  <si>
    <t>365-Day Treasury Bills</t>
  </si>
  <si>
    <t xml:space="preserve">Annual Percentage </t>
  </si>
  <si>
    <t>Change</t>
  </si>
  <si>
    <t xml:space="preserve">   </t>
  </si>
  <si>
    <t>Money Supply (annual  percentage changes)</t>
  </si>
  <si>
    <t xml:space="preserve"> Selected interest rates</t>
  </si>
  <si>
    <t>Money Supply (month-on-month  percentage changes)</t>
  </si>
  <si>
    <t xml:space="preserve">        Foreign  Reserves</t>
  </si>
  <si>
    <t xml:space="preserve">        U.S Dollar/Namibia Dollar exchange rate</t>
  </si>
  <si>
    <t>Claims on the Other sectors*  by the Other Depository Corporations (N$ million)</t>
  </si>
  <si>
    <t xml:space="preserve"> Monthly</t>
  </si>
  <si>
    <t>Domestic and other sectors claims (month-on-month  percentage changes)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</si>
</sst>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#,##0.0"/>
    <numFmt numFmtId="176" formatCode="_(* #,##0.0_);_(* \(#,##0.0\);_(* &quot;-&quot;??_);_(@_)"/>
    <numFmt numFmtId="177" formatCode="[$-409]mmm\-yy;@"/>
    <numFmt numFmtId="178" formatCode="[$-409]mmmm\-yy;@"/>
    <numFmt numFmtId="179" formatCode="#,##0.0_);\(#,##0.0\)"/>
    <numFmt numFmtId="180" formatCode="_(* #,##0.0000_);_(* \(#,##0.0000\);_(* &quot;-&quot;??_);_(@_)"/>
    <numFmt numFmtId="181" formatCode="#,##0.000000"/>
    <numFmt numFmtId="182" formatCode="0.0%"/>
    <numFmt numFmtId="183" formatCode="#,##0.0000"/>
    <numFmt numFmtId="184" formatCode="_ * #,##0.0000_ ;_ * \-#,##0.0000_ ;_ * &quot;-&quot;????_ ;_ @_ "/>
  </numFmts>
  <fonts count="103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b/>
      <sz val="14"/>
      <color indexed="37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b/>
      <sz val="8"/>
      <name val="Univers"/>
      <family val="0"/>
    </font>
    <font>
      <sz val="9"/>
      <color indexed="37"/>
      <name val="Arial"/>
      <family val="2"/>
    </font>
    <font>
      <i/>
      <sz val="9"/>
      <color indexed="61"/>
      <name val="Arial"/>
      <family val="2"/>
    </font>
    <font>
      <b/>
      <sz val="14"/>
      <color indexed="61"/>
      <name val="Arial"/>
      <family val="2"/>
    </font>
    <font>
      <sz val="10"/>
      <color indexed="25"/>
      <name val="Arial"/>
      <family val="0"/>
    </font>
    <font>
      <sz val="14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8"/>
      <color indexed="25"/>
      <name val="Arial"/>
      <family val="2"/>
    </font>
    <font>
      <sz val="9"/>
      <color indexed="25"/>
      <name val="Arial"/>
      <family val="2"/>
    </font>
    <font>
      <sz val="9"/>
      <color indexed="25"/>
      <name val="Univers"/>
      <family val="0"/>
    </font>
    <font>
      <b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8"/>
      <color rgb="FF993366"/>
      <name val="Arial"/>
      <family val="2"/>
    </font>
    <font>
      <sz val="9"/>
      <color rgb="FF993366"/>
      <name val="Arial"/>
      <family val="2"/>
    </font>
    <font>
      <sz val="9"/>
      <color rgb="FF993366"/>
      <name val="Univers"/>
      <family val="0"/>
    </font>
    <font>
      <b/>
      <sz val="12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lightTrellis">
        <fgColor indexed="26"/>
        <bgColor rgb="FFFFFFCC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171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75" fontId="13" fillId="33" borderId="14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8" fontId="24" fillId="0" borderId="0" xfId="0" applyNumberFormat="1" applyFont="1" applyAlignment="1">
      <alignment horizontal="center"/>
    </xf>
    <xf numFmtId="175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75" fontId="15" fillId="0" borderId="0" xfId="0" applyNumberFormat="1" applyFont="1" applyBorder="1" applyAlignment="1">
      <alignment/>
    </xf>
    <xf numFmtId="175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75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75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75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7" fontId="10" fillId="35" borderId="19" xfId="0" applyNumberFormat="1" applyFont="1" applyFill="1" applyBorder="1" applyAlignment="1">
      <alignment horizontal="center"/>
    </xf>
    <xf numFmtId="172" fontId="9" fillId="35" borderId="15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75" fontId="0" fillId="0" borderId="0" xfId="0" applyNumberFormat="1" applyAlignment="1">
      <alignment/>
    </xf>
    <xf numFmtId="172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72" fontId="0" fillId="0" borderId="0" xfId="0" applyNumberFormat="1" applyAlignment="1">
      <alignment/>
    </xf>
    <xf numFmtId="0" fontId="29" fillId="0" borderId="0" xfId="0" applyFont="1" applyAlignment="1">
      <alignment horizontal="left"/>
    </xf>
    <xf numFmtId="175" fontId="26" fillId="35" borderId="0" xfId="121" applyNumberFormat="1" applyFont="1" applyFill="1" applyBorder="1">
      <alignment/>
      <protection/>
    </xf>
    <xf numFmtId="0" fontId="39" fillId="0" borderId="0" xfId="0" applyFont="1" applyAlignment="1">
      <alignment/>
    </xf>
    <xf numFmtId="0" fontId="26" fillId="35" borderId="21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75" fontId="4" fillId="0" borderId="22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" fillId="0" borderId="0" xfId="0" applyFont="1" applyBorder="1" applyAlignment="1">
      <alignment/>
    </xf>
    <xf numFmtId="172" fontId="9" fillId="35" borderId="15" xfId="0" applyNumberFormat="1" applyFont="1" applyFill="1" applyBorder="1" applyAlignment="1">
      <alignment horizontal="right"/>
    </xf>
    <xf numFmtId="175" fontId="9" fillId="35" borderId="20" xfId="0" applyNumberFormat="1" applyFont="1" applyFill="1" applyBorder="1" applyAlignment="1">
      <alignment/>
    </xf>
    <xf numFmtId="175" fontId="9" fillId="35" borderId="16" xfId="0" applyNumberFormat="1" applyFont="1" applyFill="1" applyBorder="1" applyAlignment="1">
      <alignment/>
    </xf>
    <xf numFmtId="17" fontId="13" fillId="33" borderId="21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75" fontId="26" fillId="35" borderId="26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75" fontId="26" fillId="35" borderId="27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17" fontId="4" fillId="36" borderId="17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75" fontId="27" fillId="35" borderId="11" xfId="121" applyNumberFormat="1" applyFont="1" applyFill="1" applyBorder="1" applyAlignment="1">
      <alignment horizontal="left" indent="1"/>
      <protection/>
    </xf>
    <xf numFmtId="175" fontId="4" fillId="35" borderId="11" xfId="121" applyNumberFormat="1" applyFont="1" applyFill="1" applyBorder="1">
      <alignment/>
      <protection/>
    </xf>
    <xf numFmtId="175" fontId="26" fillId="35" borderId="12" xfId="121" applyNumberFormat="1" applyFont="1" applyFill="1" applyBorder="1">
      <alignment/>
      <protection/>
    </xf>
    <xf numFmtId="175" fontId="26" fillId="35" borderId="11" xfId="0" applyNumberFormat="1" applyFont="1" applyFill="1" applyBorder="1" applyAlignment="1">
      <alignment/>
    </xf>
    <xf numFmtId="175" fontId="27" fillId="35" borderId="11" xfId="0" applyNumberFormat="1" applyFont="1" applyFill="1" applyBorder="1" applyAlignment="1">
      <alignment horizontal="left" indent="1"/>
    </xf>
    <xf numFmtId="175" fontId="27" fillId="35" borderId="11" xfId="0" applyNumberFormat="1" applyFont="1" applyFill="1" applyBorder="1" applyAlignment="1">
      <alignment horizontal="left"/>
    </xf>
    <xf numFmtId="175" fontId="26" fillId="35" borderId="11" xfId="0" applyNumberFormat="1" applyFont="1" applyFill="1" applyBorder="1" applyAlignment="1">
      <alignment horizontal="left" indent="2"/>
    </xf>
    <xf numFmtId="175" fontId="26" fillId="35" borderId="11" xfId="0" applyNumberFormat="1" applyFont="1" applyFill="1" applyBorder="1" applyAlignment="1">
      <alignment horizontal="left"/>
    </xf>
    <xf numFmtId="175" fontId="4" fillId="35" borderId="11" xfId="0" applyNumberFormat="1" applyFont="1" applyFill="1" applyBorder="1" applyAlignment="1">
      <alignment horizontal="left" indent="2"/>
    </xf>
    <xf numFmtId="175" fontId="4" fillId="35" borderId="11" xfId="0" applyNumberFormat="1" applyFont="1" applyFill="1" applyBorder="1" applyAlignment="1">
      <alignment/>
    </xf>
    <xf numFmtId="175" fontId="27" fillId="35" borderId="12" xfId="0" applyNumberFormat="1" applyFont="1" applyFill="1" applyBorder="1" applyAlignment="1">
      <alignment horizontal="left" indent="1"/>
    </xf>
    <xf numFmtId="175" fontId="26" fillId="35" borderId="18" xfId="121" applyNumberFormat="1" applyFont="1" applyFill="1" applyBorder="1">
      <alignment/>
      <protection/>
    </xf>
    <xf numFmtId="0" fontId="4" fillId="35" borderId="12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3" fillId="33" borderId="31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44" fillId="0" borderId="0" xfId="0" applyFont="1" applyAlignment="1">
      <alignment/>
    </xf>
    <xf numFmtId="46" fontId="13" fillId="33" borderId="3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/>
    </xf>
    <xf numFmtId="0" fontId="45" fillId="0" borderId="0" xfId="0" applyFont="1" applyAlignment="1">
      <alignment/>
    </xf>
    <xf numFmtId="171" fontId="9" fillId="35" borderId="15" xfId="42" applyFont="1" applyFill="1" applyBorder="1" applyAlignment="1">
      <alignment horizontal="right"/>
    </xf>
    <xf numFmtId="171" fontId="9" fillId="35" borderId="15" xfId="42" applyFont="1" applyFill="1" applyBorder="1" applyAlignment="1">
      <alignment/>
    </xf>
    <xf numFmtId="175" fontId="26" fillId="35" borderId="0" xfId="114" applyNumberFormat="1" applyFont="1" applyFill="1" applyBorder="1">
      <alignment/>
      <protection/>
    </xf>
    <xf numFmtId="175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75" fontId="26" fillId="35" borderId="18" xfId="114" applyNumberFormat="1" applyFont="1" applyFill="1" applyBorder="1">
      <alignment/>
      <protection/>
    </xf>
    <xf numFmtId="175" fontId="4" fillId="35" borderId="0" xfId="114" applyNumberFormat="1" applyFont="1" applyFill="1" applyBorder="1" applyAlignment="1">
      <alignment horizontal="right"/>
      <protection/>
    </xf>
    <xf numFmtId="175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75" fontId="26" fillId="35" borderId="18" xfId="114" applyNumberFormat="1" applyFont="1" applyFill="1" applyBorder="1" applyAlignment="1">
      <alignment horizontal="right"/>
      <protection/>
    </xf>
    <xf numFmtId="175" fontId="26" fillId="35" borderId="0" xfId="114" applyNumberFormat="1" applyFont="1" applyFill="1" applyBorder="1" applyAlignment="1">
      <alignment horizontal="right"/>
      <protection/>
    </xf>
    <xf numFmtId="175" fontId="26" fillId="35" borderId="0" xfId="119" applyNumberFormat="1" applyFont="1" applyFill="1" applyBorder="1">
      <alignment/>
      <protection/>
    </xf>
    <xf numFmtId="172" fontId="26" fillId="35" borderId="0" xfId="119" applyNumberFormat="1" applyFont="1" applyFill="1" applyBorder="1">
      <alignment/>
      <protection/>
    </xf>
    <xf numFmtId="175" fontId="4" fillId="35" borderId="0" xfId="119" applyNumberFormat="1" applyFont="1" applyFill="1" applyBorder="1">
      <alignment/>
      <protection/>
    </xf>
    <xf numFmtId="172" fontId="4" fillId="35" borderId="0" xfId="119" applyNumberFormat="1" applyFont="1" applyFill="1" applyBorder="1">
      <alignment/>
      <protection/>
    </xf>
    <xf numFmtId="175" fontId="26" fillId="35" borderId="21" xfId="119" applyNumberFormat="1" applyFont="1" applyFill="1" applyBorder="1">
      <alignment/>
      <protection/>
    </xf>
    <xf numFmtId="175" fontId="26" fillId="35" borderId="33" xfId="119" applyNumberFormat="1" applyFont="1" applyFill="1" applyBorder="1">
      <alignment/>
      <protection/>
    </xf>
    <xf numFmtId="175" fontId="4" fillId="35" borderId="0" xfId="120" applyNumberFormat="1" applyFont="1" applyFill="1" applyBorder="1">
      <alignment/>
      <protection/>
    </xf>
    <xf numFmtId="175" fontId="26" fillId="35" borderId="18" xfId="120" applyNumberFormat="1" applyFont="1" applyFill="1" applyBorder="1">
      <alignment/>
      <protection/>
    </xf>
    <xf numFmtId="175" fontId="26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>
      <alignment/>
      <protection/>
    </xf>
    <xf numFmtId="175" fontId="4" fillId="36" borderId="0" xfId="109" applyNumberFormat="1" applyFont="1" applyFill="1" applyBorder="1" applyAlignment="1">
      <alignment horizontal="right"/>
      <protection/>
    </xf>
    <xf numFmtId="179" fontId="4" fillId="35" borderId="0" xfId="50" applyNumberFormat="1" applyFont="1" applyFill="1" applyBorder="1" applyAlignment="1">
      <alignment horizontal="right"/>
    </xf>
    <xf numFmtId="179" fontId="4" fillId="36" borderId="0" xfId="50" applyNumberFormat="1" applyFont="1" applyFill="1" applyBorder="1" applyAlignment="1">
      <alignment horizontal="right"/>
    </xf>
    <xf numFmtId="175" fontId="26" fillId="35" borderId="0" xfId="110" applyNumberFormat="1" applyFont="1" applyFill="1" applyBorder="1">
      <alignment/>
      <protection/>
    </xf>
    <xf numFmtId="172" fontId="26" fillId="35" borderId="0" xfId="110" applyNumberFormat="1" applyFont="1" applyFill="1" applyBorder="1">
      <alignment/>
      <protection/>
    </xf>
    <xf numFmtId="175" fontId="4" fillId="35" borderId="0" xfId="110" applyNumberFormat="1" applyFont="1" applyFill="1" applyBorder="1">
      <alignment/>
      <protection/>
    </xf>
    <xf numFmtId="172" fontId="4" fillId="35" borderId="0" xfId="110" applyNumberFormat="1" applyFont="1" applyFill="1" applyBorder="1">
      <alignment/>
      <protection/>
    </xf>
    <xf numFmtId="175" fontId="26" fillId="35" borderId="0" xfId="111" applyNumberFormat="1" applyFont="1" applyFill="1" applyBorder="1">
      <alignment/>
      <protection/>
    </xf>
    <xf numFmtId="172" fontId="26" fillId="35" borderId="0" xfId="111" applyNumberFormat="1" applyFont="1" applyFill="1" applyBorder="1">
      <alignment/>
      <protection/>
    </xf>
    <xf numFmtId="175" fontId="4" fillId="35" borderId="0" xfId="111" applyNumberFormat="1" applyFont="1" applyFill="1" applyBorder="1">
      <alignment/>
      <protection/>
    </xf>
    <xf numFmtId="172" fontId="4" fillId="35" borderId="0" xfId="111" applyNumberFormat="1" applyFont="1" applyFill="1" applyBorder="1">
      <alignment/>
      <protection/>
    </xf>
    <xf numFmtId="175" fontId="26" fillId="35" borderId="18" xfId="111" applyNumberFormat="1" applyFont="1" applyFill="1" applyBorder="1">
      <alignment/>
      <protection/>
    </xf>
    <xf numFmtId="0" fontId="98" fillId="0" borderId="0" xfId="0" applyFont="1" applyAlignment="1">
      <alignment/>
    </xf>
    <xf numFmtId="179" fontId="4" fillId="38" borderId="0" xfId="50" applyNumberFormat="1" applyFont="1" applyFill="1" applyBorder="1" applyAlignment="1">
      <alignment horizontal="right"/>
    </xf>
    <xf numFmtId="175" fontId="4" fillId="38" borderId="0" xfId="109" applyNumberFormat="1" applyFont="1" applyFill="1" applyBorder="1">
      <alignment/>
      <protection/>
    </xf>
    <xf numFmtId="175" fontId="4" fillId="38" borderId="18" xfId="109" applyNumberFormat="1" applyFont="1" applyFill="1" applyBorder="1">
      <alignment/>
      <protection/>
    </xf>
    <xf numFmtId="175" fontId="47" fillId="35" borderId="18" xfId="111" applyNumberFormat="1" applyFont="1" applyFill="1" applyBorder="1">
      <alignment/>
      <protection/>
    </xf>
    <xf numFmtId="175" fontId="48" fillId="35" borderId="18" xfId="111" applyNumberFormat="1" applyFont="1" applyFill="1" applyBorder="1">
      <alignment/>
      <protection/>
    </xf>
    <xf numFmtId="172" fontId="48" fillId="35" borderId="18" xfId="111" applyNumberFormat="1" applyFont="1" applyFill="1" applyBorder="1">
      <alignment/>
      <protection/>
    </xf>
    <xf numFmtId="17" fontId="13" fillId="33" borderId="34" xfId="0" applyNumberFormat="1" applyFont="1" applyFill="1" applyBorder="1" applyAlignment="1">
      <alignment/>
    </xf>
    <xf numFmtId="172" fontId="26" fillId="35" borderId="26" xfId="119" applyNumberFormat="1" applyFont="1" applyFill="1" applyBorder="1">
      <alignment/>
      <protection/>
    </xf>
    <xf numFmtId="172" fontId="4" fillId="35" borderId="26" xfId="119" applyNumberFormat="1" applyFont="1" applyFill="1" applyBorder="1">
      <alignment/>
      <protection/>
    </xf>
    <xf numFmtId="175" fontId="26" fillId="35" borderId="18" xfId="119" applyNumberFormat="1" applyFont="1" applyFill="1" applyBorder="1">
      <alignment/>
      <protection/>
    </xf>
    <xf numFmtId="172" fontId="26" fillId="35" borderId="18" xfId="119" applyNumberFormat="1" applyFont="1" applyFill="1" applyBorder="1">
      <alignment/>
      <protection/>
    </xf>
    <xf numFmtId="172" fontId="26" fillId="35" borderId="27" xfId="119" applyNumberFormat="1" applyFont="1" applyFill="1" applyBorder="1">
      <alignment/>
      <protection/>
    </xf>
    <xf numFmtId="172" fontId="26" fillId="35" borderId="26" xfId="110" applyNumberFormat="1" applyFont="1" applyFill="1" applyBorder="1">
      <alignment/>
      <protection/>
    </xf>
    <xf numFmtId="172" fontId="4" fillId="35" borderId="26" xfId="110" applyNumberFormat="1" applyFont="1" applyFill="1" applyBorder="1">
      <alignment/>
      <protection/>
    </xf>
    <xf numFmtId="175" fontId="4" fillId="35" borderId="26" xfId="120" applyNumberFormat="1" applyFont="1" applyFill="1" applyBorder="1">
      <alignment/>
      <protection/>
    </xf>
    <xf numFmtId="175" fontId="26" fillId="35" borderId="27" xfId="120" applyNumberFormat="1" applyFont="1" applyFill="1" applyBorder="1">
      <alignment/>
      <protection/>
    </xf>
    <xf numFmtId="172" fontId="26" fillId="35" borderId="26" xfId="111" applyNumberFormat="1" applyFont="1" applyFill="1" applyBorder="1">
      <alignment/>
      <protection/>
    </xf>
    <xf numFmtId="172" fontId="4" fillId="35" borderId="26" xfId="111" applyNumberFormat="1" applyFont="1" applyFill="1" applyBorder="1">
      <alignment/>
      <protection/>
    </xf>
    <xf numFmtId="172" fontId="48" fillId="35" borderId="27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75" fontId="4" fillId="39" borderId="0" xfId="109" applyNumberFormat="1" applyFont="1" applyFill="1" applyBorder="1">
      <alignment/>
      <protection/>
    </xf>
    <xf numFmtId="0" fontId="99" fillId="0" borderId="0" xfId="0" applyFont="1" applyAlignment="1">
      <alignment/>
    </xf>
    <xf numFmtId="0" fontId="5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81" fontId="0" fillId="0" borderId="0" xfId="0" applyNumberFormat="1" applyAlignment="1">
      <alignment/>
    </xf>
    <xf numFmtId="175" fontId="4" fillId="38" borderId="18" xfId="109" applyNumberFormat="1" applyFont="1" applyFill="1" applyBorder="1" applyAlignment="1">
      <alignment horizontal="right"/>
      <protection/>
    </xf>
    <xf numFmtId="171" fontId="15" fillId="0" borderId="0" xfId="0" applyNumberFormat="1" applyFont="1" applyAlignment="1">
      <alignment/>
    </xf>
    <xf numFmtId="2" fontId="10" fillId="35" borderId="15" xfId="42" applyNumberFormat="1" applyFont="1" applyFill="1" applyBorder="1" applyAlignment="1">
      <alignment horizontal="right"/>
    </xf>
    <xf numFmtId="2" fontId="10" fillId="35" borderId="15" xfId="0" applyNumberFormat="1" applyFont="1" applyFill="1" applyBorder="1" applyAlignment="1">
      <alignment/>
    </xf>
    <xf numFmtId="171" fontId="9" fillId="35" borderId="15" xfId="42" applyFont="1" applyFill="1" applyBorder="1" applyAlignment="1">
      <alignment/>
    </xf>
    <xf numFmtId="2" fontId="11" fillId="0" borderId="0" xfId="0" applyNumberFormat="1" applyFont="1" applyAlignment="1">
      <alignment/>
    </xf>
    <xf numFmtId="182" fontId="0" fillId="0" borderId="0" xfId="124" applyNumberFormat="1" applyFont="1" applyAlignment="1">
      <alignment/>
    </xf>
    <xf numFmtId="0" fontId="53" fillId="0" borderId="0" xfId="0" applyFont="1" applyAlignment="1">
      <alignment/>
    </xf>
    <xf numFmtId="172" fontId="26" fillId="0" borderId="0" xfId="110" applyNumberFormat="1" applyFont="1" applyFill="1" applyBorder="1">
      <alignment/>
      <protection/>
    </xf>
    <xf numFmtId="175" fontId="13" fillId="33" borderId="35" xfId="0" applyNumberFormat="1" applyFont="1" applyFill="1" applyBorder="1" applyAlignment="1">
      <alignment/>
    </xf>
    <xf numFmtId="175" fontId="13" fillId="33" borderId="36" xfId="0" applyNumberFormat="1" applyFont="1" applyFill="1" applyBorder="1" applyAlignment="1">
      <alignment/>
    </xf>
    <xf numFmtId="175" fontId="13" fillId="33" borderId="25" xfId="0" applyNumberFormat="1" applyFont="1" applyFill="1" applyBorder="1" applyAlignment="1">
      <alignment/>
    </xf>
    <xf numFmtId="175" fontId="13" fillId="33" borderId="33" xfId="0" applyNumberFormat="1" applyFont="1" applyFill="1" applyBorder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7" fillId="33" borderId="16" xfId="0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26" xfId="0" applyNumberFormat="1" applyFont="1" applyFill="1" applyBorder="1" applyAlignment="1">
      <alignment horizontal="center"/>
    </xf>
    <xf numFmtId="17" fontId="7" fillId="33" borderId="19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54" fillId="35" borderId="15" xfId="0" applyFont="1" applyFill="1" applyBorder="1" applyAlignment="1">
      <alignment/>
    </xf>
    <xf numFmtId="0" fontId="54" fillId="35" borderId="26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17" fontId="7" fillId="35" borderId="15" xfId="0" applyNumberFormat="1" applyFont="1" applyFill="1" applyBorder="1" applyAlignment="1">
      <alignment horizontal="center"/>
    </xf>
    <xf numFmtId="175" fontId="54" fillId="35" borderId="15" xfId="0" applyNumberFormat="1" applyFont="1" applyFill="1" applyBorder="1" applyAlignment="1">
      <alignment horizontal="center"/>
    </xf>
    <xf numFmtId="172" fontId="54" fillId="35" borderId="15" xfId="0" applyNumberFormat="1" applyFont="1" applyFill="1" applyBorder="1" applyAlignment="1">
      <alignment/>
    </xf>
    <xf numFmtId="172" fontId="54" fillId="35" borderId="15" xfId="0" applyNumberFormat="1" applyFont="1" applyFill="1" applyBorder="1" applyAlignment="1">
      <alignment horizontal="right"/>
    </xf>
    <xf numFmtId="172" fontId="54" fillId="35" borderId="26" xfId="0" applyNumberFormat="1" applyFont="1" applyFill="1" applyBorder="1" applyAlignment="1">
      <alignment/>
    </xf>
    <xf numFmtId="172" fontId="54" fillId="35" borderId="26" xfId="0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/>
    </xf>
    <xf numFmtId="172" fontId="100" fillId="35" borderId="15" xfId="0" applyNumberFormat="1" applyFont="1" applyFill="1" applyBorder="1" applyAlignment="1">
      <alignment/>
    </xf>
    <xf numFmtId="176" fontId="100" fillId="35" borderId="15" xfId="42" applyNumberFormat="1" applyFont="1" applyFill="1" applyBorder="1" applyAlignment="1">
      <alignment horizontal="right"/>
    </xf>
    <xf numFmtId="171" fontId="100" fillId="35" borderId="15" xfId="42" applyNumberFormat="1" applyFont="1" applyFill="1" applyBorder="1" applyAlignment="1">
      <alignment horizontal="right"/>
    </xf>
    <xf numFmtId="172" fontId="54" fillId="35" borderId="15" xfId="0" applyNumberFormat="1" applyFont="1" applyFill="1" applyBorder="1" applyAlignment="1">
      <alignment horizontal="center"/>
    </xf>
    <xf numFmtId="172" fontId="54" fillId="35" borderId="26" xfId="0" applyNumberFormat="1" applyFont="1" applyFill="1" applyBorder="1" applyAlignment="1">
      <alignment horizontal="center"/>
    </xf>
    <xf numFmtId="172" fontId="100" fillId="35" borderId="15" xfId="0" applyNumberFormat="1" applyFont="1" applyFill="1" applyBorder="1" applyAlignment="1">
      <alignment horizontal="right"/>
    </xf>
    <xf numFmtId="175" fontId="100" fillId="35" borderId="15" xfId="42" applyNumberFormat="1" applyFont="1" applyFill="1" applyBorder="1" applyAlignment="1">
      <alignment horizontal="right"/>
    </xf>
    <xf numFmtId="2" fontId="100" fillId="35" borderId="15" xfId="42" applyNumberFormat="1" applyFont="1" applyFill="1" applyBorder="1" applyAlignment="1">
      <alignment horizontal="right"/>
    </xf>
    <xf numFmtId="171" fontId="100" fillId="35" borderId="15" xfId="42" applyFont="1" applyFill="1" applyBorder="1" applyAlignment="1">
      <alignment horizontal="right"/>
    </xf>
    <xf numFmtId="4" fontId="100" fillId="35" borderId="15" xfId="42" applyNumberFormat="1" applyFont="1" applyFill="1" applyBorder="1" applyAlignment="1">
      <alignment horizontal="right"/>
    </xf>
    <xf numFmtId="0" fontId="100" fillId="35" borderId="15" xfId="0" applyFont="1" applyFill="1" applyBorder="1" applyAlignment="1">
      <alignment/>
    </xf>
    <xf numFmtId="171" fontId="100" fillId="35" borderId="15" xfId="0" applyNumberFormat="1" applyFont="1" applyFill="1" applyBorder="1" applyAlignment="1">
      <alignment/>
    </xf>
    <xf numFmtId="0" fontId="54" fillId="35" borderId="15" xfId="0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/>
    </xf>
    <xf numFmtId="173" fontId="100" fillId="35" borderId="15" xfId="0" applyNumberFormat="1" applyFont="1" applyFill="1" applyBorder="1" applyAlignment="1">
      <alignment/>
    </xf>
    <xf numFmtId="180" fontId="100" fillId="35" borderId="15" xfId="0" applyNumberFormat="1" applyFont="1" applyFill="1" applyBorder="1" applyAlignment="1">
      <alignment/>
    </xf>
    <xf numFmtId="180" fontId="100" fillId="35" borderId="15" xfId="42" applyNumberFormat="1" applyFont="1" applyFill="1" applyBorder="1" applyAlignment="1">
      <alignment horizontal="right"/>
    </xf>
    <xf numFmtId="173" fontId="54" fillId="35" borderId="15" xfId="0" applyNumberFormat="1" applyFont="1" applyFill="1" applyBorder="1" applyAlignment="1">
      <alignment horizontal="center"/>
    </xf>
    <xf numFmtId="173" fontId="54" fillId="35" borderId="15" xfId="0" applyNumberFormat="1" applyFont="1" applyFill="1" applyBorder="1" applyAlignment="1">
      <alignment horizontal="right"/>
    </xf>
    <xf numFmtId="173" fontId="54" fillId="35" borderId="26" xfId="0" applyNumberFormat="1" applyFont="1" applyFill="1" applyBorder="1" applyAlignment="1">
      <alignment horizontal="right"/>
    </xf>
    <xf numFmtId="173" fontId="100" fillId="35" borderId="15" xfId="0" applyNumberFormat="1" applyFont="1" applyFill="1" applyBorder="1" applyAlignment="1">
      <alignment horizontal="right"/>
    </xf>
    <xf numFmtId="0" fontId="54" fillId="34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indent="10"/>
    </xf>
    <xf numFmtId="0" fontId="8" fillId="34" borderId="15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54" fillId="34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26" xfId="0" applyFont="1" applyFill="1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5" fillId="0" borderId="15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00" fillId="40" borderId="15" xfId="0" applyFont="1" applyFill="1" applyBorder="1" applyAlignment="1">
      <alignment/>
    </xf>
    <xf numFmtId="0" fontId="55" fillId="0" borderId="20" xfId="0" applyFont="1" applyBorder="1" applyAlignment="1">
      <alignment horizontal="left"/>
    </xf>
    <xf numFmtId="0" fontId="8" fillId="34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4" fillId="34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7" xfId="0" applyFont="1" applyBorder="1" applyAlignment="1">
      <alignment/>
    </xf>
    <xf numFmtId="0" fontId="11" fillId="34" borderId="27" xfId="0" applyFont="1" applyFill="1" applyBorder="1" applyAlignment="1">
      <alignment/>
    </xf>
    <xf numFmtId="2" fontId="11" fillId="0" borderId="20" xfId="0" applyNumberFormat="1" applyFont="1" applyBorder="1" applyAlignment="1">
      <alignment/>
    </xf>
    <xf numFmtId="0" fontId="49" fillId="0" borderId="0" xfId="0" applyFont="1" applyAlignment="1">
      <alignment/>
    </xf>
    <xf numFmtId="2" fontId="1" fillId="0" borderId="0" xfId="0" applyNumberFormat="1" applyFont="1" applyAlignment="1">
      <alignment/>
    </xf>
    <xf numFmtId="0" fontId="52" fillId="0" borderId="0" xfId="0" applyFont="1" applyAlignment="1">
      <alignment/>
    </xf>
    <xf numFmtId="171" fontId="10" fillId="35" borderId="15" xfId="42" applyFont="1" applyFill="1" applyBorder="1" applyAlignment="1">
      <alignment/>
    </xf>
    <xf numFmtId="175" fontId="26" fillId="35" borderId="0" xfId="0" applyNumberFormat="1" applyFont="1" applyFill="1" applyBorder="1" applyAlignment="1">
      <alignment horizontal="right"/>
    </xf>
    <xf numFmtId="175" fontId="4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horizontal="right"/>
    </xf>
    <xf numFmtId="175" fontId="26" fillId="35" borderId="18" xfId="0" applyNumberFormat="1" applyFont="1" applyFill="1" applyBorder="1" applyAlignment="1">
      <alignment horizontal="right"/>
    </xf>
    <xf numFmtId="175" fontId="4" fillId="38" borderId="12" xfId="109" applyNumberFormat="1" applyFont="1" applyFill="1" applyBorder="1">
      <alignment/>
      <protection/>
    </xf>
    <xf numFmtId="0" fontId="4" fillId="35" borderId="37" xfId="114" applyFont="1" applyFill="1" applyBorder="1">
      <alignment/>
      <protection/>
    </xf>
    <xf numFmtId="175" fontId="26" fillId="35" borderId="26" xfId="114" applyNumberFormat="1" applyFont="1" applyFill="1" applyBorder="1">
      <alignment/>
      <protection/>
    </xf>
    <xf numFmtId="175" fontId="4" fillId="35" borderId="26" xfId="114" applyNumberFormat="1" applyFont="1" applyFill="1" applyBorder="1">
      <alignment/>
      <protection/>
    </xf>
    <xf numFmtId="175" fontId="26" fillId="35" borderId="27" xfId="114" applyNumberFormat="1" applyFont="1" applyFill="1" applyBorder="1">
      <alignment/>
      <protection/>
    </xf>
    <xf numFmtId="175" fontId="15" fillId="35" borderId="37" xfId="0" applyNumberFormat="1" applyFont="1" applyFill="1" applyBorder="1" applyAlignment="1">
      <alignment/>
    </xf>
    <xf numFmtId="175" fontId="26" fillId="35" borderId="26" xfId="108" applyNumberFormat="1" applyFont="1" applyFill="1" applyBorder="1">
      <alignment/>
      <protection/>
    </xf>
    <xf numFmtId="175" fontId="4" fillId="35" borderId="26" xfId="108" applyNumberFormat="1" applyFont="1" applyFill="1" applyBorder="1">
      <alignment/>
      <protection/>
    </xf>
    <xf numFmtId="175" fontId="4" fillId="35" borderId="27" xfId="108" applyNumberFormat="1" applyFont="1" applyFill="1" applyBorder="1">
      <alignment/>
      <protection/>
    </xf>
    <xf numFmtId="0" fontId="4" fillId="36" borderId="37" xfId="0" applyFont="1" applyFill="1" applyBorder="1" applyAlignment="1">
      <alignment/>
    </xf>
    <xf numFmtId="175" fontId="26" fillId="36" borderId="26" xfId="109" applyNumberFormat="1" applyFont="1" applyFill="1" applyBorder="1">
      <alignment/>
      <protection/>
    </xf>
    <xf numFmtId="175" fontId="4" fillId="39" borderId="26" xfId="109" applyNumberFormat="1" applyFont="1" applyFill="1" applyBorder="1">
      <alignment/>
      <protection/>
    </xf>
    <xf numFmtId="175" fontId="4" fillId="38" borderId="26" xfId="109" applyNumberFormat="1" applyFont="1" applyFill="1" applyBorder="1">
      <alignment/>
      <protection/>
    </xf>
    <xf numFmtId="175" fontId="4" fillId="38" borderId="27" xfId="109" applyNumberFormat="1" applyFont="1" applyFill="1" applyBorder="1">
      <alignment/>
      <protection/>
    </xf>
    <xf numFmtId="2" fontId="9" fillId="32" borderId="15" xfId="0" applyNumberFormat="1" applyFont="1" applyFill="1" applyBorder="1" applyAlignment="1">
      <alignment/>
    </xf>
    <xf numFmtId="0" fontId="3" fillId="0" borderId="0" xfId="0" applyFont="1" applyAlignment="1">
      <alignment horizontal="left" vertical="top"/>
    </xf>
    <xf numFmtId="172" fontId="9" fillId="32" borderId="15" xfId="0" applyNumberFormat="1" applyFont="1" applyFill="1" applyBorder="1" applyAlignment="1">
      <alignment horizontal="right"/>
    </xf>
    <xf numFmtId="172" fontId="9" fillId="32" borderId="20" xfId="0" applyNumberFormat="1" applyFont="1" applyFill="1" applyBorder="1" applyAlignment="1">
      <alignment horizontal="right"/>
    </xf>
    <xf numFmtId="46" fontId="13" fillId="33" borderId="31" xfId="0" applyNumberFormat="1" applyFont="1" applyFill="1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46" fontId="13" fillId="33" borderId="21" xfId="0" applyNumberFormat="1" applyFont="1" applyFill="1" applyBorder="1" applyAlignment="1">
      <alignment horizontal="center"/>
    </xf>
    <xf numFmtId="46" fontId="13" fillId="33" borderId="38" xfId="0" applyNumberFormat="1" applyFont="1" applyFill="1" applyBorder="1" applyAlignment="1">
      <alignment horizontal="center"/>
    </xf>
    <xf numFmtId="0" fontId="101" fillId="0" borderId="0" xfId="0" applyFont="1" applyAlignment="1">
      <alignment/>
    </xf>
    <xf numFmtId="0" fontId="20" fillId="33" borderId="31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46" fontId="13" fillId="33" borderId="39" xfId="0" applyNumberFormat="1" applyFont="1" applyFill="1" applyBorder="1" applyAlignment="1">
      <alignment horizontal="center"/>
    </xf>
    <xf numFmtId="46" fontId="13" fillId="33" borderId="40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6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0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0" fillId="33" borderId="42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center"/>
    </xf>
    <xf numFmtId="0" fontId="20" fillId="33" borderId="38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-0.003"/>
          <c:w val="0.9445"/>
          <c:h val="0.9327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'S6'!$BT$4:$CJ$4</c:f>
              <c:strCache>
                <c:ptCount val="13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40025</c:v>
                </c:pt>
                <c:pt idx="5">
                  <c:v>40056</c:v>
                </c:pt>
                <c:pt idx="6">
                  <c:v>40086</c:v>
                </c:pt>
                <c:pt idx="7">
                  <c:v>40117</c:v>
                </c:pt>
                <c:pt idx="8">
                  <c:v>40147</c:v>
                </c:pt>
                <c:pt idx="9">
                  <c:v>40177</c:v>
                </c:pt>
                <c:pt idx="10">
                  <c:v>40208</c:v>
                </c:pt>
                <c:pt idx="11">
                  <c:v>40237</c:v>
                </c:pt>
                <c:pt idx="12">
                  <c:v>40268</c:v>
                </c:pt>
              </c:strCache>
            </c:strRef>
          </c:cat>
          <c:val>
            <c:numRef>
              <c:f>'S6'!$BT$13:$CJ$13</c:f>
              <c:numCache>
                <c:ptCount val="13"/>
                <c:pt idx="0">
                  <c:v>0.1000680462714646</c:v>
                </c:pt>
                <c:pt idx="1">
                  <c:v>0.11088933244621867</c:v>
                </c:pt>
                <c:pt idx="2">
                  <c:v>0.11944149158534693</c:v>
                </c:pt>
                <c:pt idx="3">
                  <c:v>0.12419583198787848</c:v>
                </c:pt>
                <c:pt idx="4">
                  <c:v>0.12576559807830168</c:v>
                </c:pt>
                <c:pt idx="5">
                  <c:v>0.12592079581942958</c:v>
                </c:pt>
                <c:pt idx="6">
                  <c:v>0.1329168605037549</c:v>
                </c:pt>
                <c:pt idx="7">
                  <c:v>0.1329168605037549</c:v>
                </c:pt>
                <c:pt idx="8">
                  <c:v>0.1329168605037549</c:v>
                </c:pt>
                <c:pt idx="9">
                  <c:v>0.13352204448954522</c:v>
                </c:pt>
                <c:pt idx="10">
                  <c:v>0.13417955908596885</c:v>
                </c:pt>
                <c:pt idx="11">
                  <c:v>0.1289</c:v>
                </c:pt>
                <c:pt idx="12">
                  <c:v>0.1347</c:v>
                </c:pt>
              </c:numCache>
            </c:numRef>
          </c:val>
          <c:smooth val="1"/>
        </c:ser>
        <c:marker val="1"/>
        <c:axId val="60927053"/>
        <c:axId val="11472566"/>
      </c:lineChart>
      <c:dateAx>
        <c:axId val="609270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11472566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1472566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053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38175"/>
          <a:ext cx="1724025" cy="15811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35</xdr:row>
      <xdr:rowOff>190500</xdr:rowOff>
    </xdr:from>
    <xdr:to>
      <xdr:col>14</xdr:col>
      <xdr:colOff>495300</xdr:colOff>
      <xdr:row>54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6848475"/>
          <a:ext cx="79248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13</xdr:col>
      <xdr:colOff>57150</xdr:colOff>
      <xdr:row>24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885950"/>
          <a:ext cx="686752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39</xdr:row>
      <xdr:rowOff>95250</xdr:rowOff>
    </xdr:from>
    <xdr:to>
      <xdr:col>13</xdr:col>
      <xdr:colOff>504825</xdr:colOff>
      <xdr:row>66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00825"/>
          <a:ext cx="803910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238125</xdr:rowOff>
    </xdr:from>
    <xdr:to>
      <xdr:col>12</xdr:col>
      <xdr:colOff>9525</xdr:colOff>
      <xdr:row>27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33450"/>
          <a:ext cx="6715125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12</xdr:col>
      <xdr:colOff>85725</xdr:colOff>
      <xdr:row>20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38225"/>
          <a:ext cx="67913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12</xdr:col>
      <xdr:colOff>152400</xdr:colOff>
      <xdr:row>40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5076825"/>
          <a:ext cx="685800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48</xdr:row>
      <xdr:rowOff>133350</xdr:rowOff>
    </xdr:from>
    <xdr:to>
      <xdr:col>12</xdr:col>
      <xdr:colOff>219075</xdr:colOff>
      <xdr:row>65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201150"/>
          <a:ext cx="68961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30</xdr:row>
      <xdr:rowOff>161925</xdr:rowOff>
    </xdr:from>
    <xdr:to>
      <xdr:col>11</xdr:col>
      <xdr:colOff>180975</xdr:colOff>
      <xdr:row>48</xdr:row>
      <xdr:rowOff>57150</xdr:rowOff>
    </xdr:to>
    <xdr:graphicFrame>
      <xdr:nvGraphicFramePr>
        <xdr:cNvPr id="1" name="Chart 9"/>
        <xdr:cNvGraphicFramePr/>
      </xdr:nvGraphicFramePr>
      <xdr:xfrm>
        <a:off x="285750" y="5095875"/>
        <a:ext cx="6572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247650</xdr:colOff>
      <xdr:row>4</xdr:row>
      <xdr:rowOff>142875</xdr:rowOff>
    </xdr:from>
    <xdr:to>
      <xdr:col>11</xdr:col>
      <xdr:colOff>200025</xdr:colOff>
      <xdr:row>20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28675"/>
          <a:ext cx="66294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zoomScalePageLayoutView="0" workbookViewId="0" topLeftCell="A19">
      <selection activeCell="A20" sqref="A20"/>
    </sheetView>
  </sheetViews>
  <sheetFormatPr defaultColWidth="9.140625" defaultRowHeight="12"/>
  <cols>
    <col min="1" max="1" width="113.28125" style="0" bestFit="1" customWidth="1"/>
  </cols>
  <sheetData>
    <row r="1" ht="11.25">
      <c r="A1" t="s">
        <v>100</v>
      </c>
    </row>
    <row r="2" ht="37.5">
      <c r="A2" s="24"/>
    </row>
    <row r="3" ht="37.5">
      <c r="A3" s="24"/>
    </row>
    <row r="4" ht="33">
      <c r="A4" s="25"/>
    </row>
    <row r="5" ht="37.5">
      <c r="A5" s="24"/>
    </row>
    <row r="6" ht="33">
      <c r="A6" s="25"/>
    </row>
    <row r="7" ht="37.5">
      <c r="A7" s="26"/>
    </row>
    <row r="8" ht="37.5">
      <c r="A8" s="26"/>
    </row>
    <row r="9" ht="33">
      <c r="A9" s="61"/>
    </row>
    <row r="11" ht="40.5">
      <c r="A11" s="27"/>
    </row>
    <row r="12" ht="40.5">
      <c r="A12" s="27"/>
    </row>
    <row r="13" ht="40.5">
      <c r="A13" s="27" t="s">
        <v>44</v>
      </c>
    </row>
    <row r="14" ht="40.5">
      <c r="A14" s="27"/>
    </row>
    <row r="15" ht="40.5">
      <c r="A15" s="27" t="s">
        <v>45</v>
      </c>
    </row>
    <row r="16" ht="40.5">
      <c r="A16" s="27"/>
    </row>
    <row r="17" ht="40.5">
      <c r="A17" s="27" t="s">
        <v>46</v>
      </c>
    </row>
    <row r="18" ht="40.5">
      <c r="A18" s="27"/>
    </row>
    <row r="19" ht="40.5">
      <c r="A19" s="29">
        <v>40238</v>
      </c>
    </row>
    <row r="20" ht="40.5">
      <c r="A20" s="2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tabSelected="1" zoomScalePageLayoutView="0" workbookViewId="0" topLeftCell="A1">
      <selection activeCell="N16" sqref="N16"/>
    </sheetView>
  </sheetViews>
  <sheetFormatPr defaultColWidth="9.140625" defaultRowHeight="12"/>
  <cols>
    <col min="2" max="2" width="50.8515625" style="0" customWidth="1"/>
    <col min="3" max="3" width="9.7109375" style="0" customWidth="1"/>
    <col min="4" max="4" width="10.140625" style="0" customWidth="1"/>
    <col min="5" max="5" width="12.00390625" style="0" customWidth="1"/>
    <col min="6" max="6" width="9.8515625" style="0" customWidth="1"/>
    <col min="7" max="8" width="9.28125" style="0" customWidth="1"/>
    <col min="9" max="9" width="7.00390625" style="0" customWidth="1"/>
    <col min="10" max="10" width="7.421875" style="0" customWidth="1"/>
    <col min="11" max="11" width="9.140625" style="0" hidden="1" customWidth="1"/>
    <col min="12" max="12" width="9.7109375" style="0" bestFit="1" customWidth="1"/>
  </cols>
  <sheetData>
    <row r="2" spans="2:12" ht="11.25">
      <c r="B2" s="300" t="s">
        <v>75</v>
      </c>
      <c r="C2" s="301"/>
      <c r="D2" s="301"/>
      <c r="E2" s="301"/>
      <c r="F2" s="301"/>
      <c r="G2" s="301"/>
      <c r="H2" s="301"/>
      <c r="I2" s="301"/>
      <c r="J2" s="301"/>
      <c r="K2" s="301"/>
      <c r="L2" s="201"/>
    </row>
    <row r="3" spans="2:12" ht="11.25">
      <c r="B3" s="299" t="s">
        <v>116</v>
      </c>
      <c r="C3" s="299"/>
      <c r="D3" s="299"/>
      <c r="E3" s="299"/>
      <c r="F3" s="299"/>
      <c r="G3" s="299"/>
      <c r="H3" s="299"/>
      <c r="I3" s="299"/>
      <c r="J3" s="299"/>
      <c r="K3" s="299"/>
      <c r="L3" s="204"/>
    </row>
    <row r="4" spans="2:12" ht="11.25">
      <c r="B4" s="70"/>
      <c r="C4" s="22"/>
      <c r="D4" s="22"/>
      <c r="E4" s="22"/>
      <c r="F4" s="302" t="s">
        <v>107</v>
      </c>
      <c r="G4" s="304"/>
      <c r="H4" s="128" t="s">
        <v>126</v>
      </c>
      <c r="I4" s="302" t="s">
        <v>161</v>
      </c>
      <c r="J4" s="303"/>
      <c r="K4" s="304"/>
      <c r="L4" s="204" t="s">
        <v>162</v>
      </c>
    </row>
    <row r="5" spans="2:12" ht="11.25">
      <c r="B5" s="71"/>
      <c r="C5" s="12">
        <v>39873</v>
      </c>
      <c r="D5" s="12">
        <v>40233</v>
      </c>
      <c r="E5" s="12">
        <v>40263</v>
      </c>
      <c r="F5" s="12" t="s">
        <v>156</v>
      </c>
      <c r="G5" s="59" t="s">
        <v>157</v>
      </c>
      <c r="H5" s="59" t="s">
        <v>170</v>
      </c>
      <c r="I5" s="12">
        <v>39814</v>
      </c>
      <c r="J5" s="12">
        <v>40210</v>
      </c>
      <c r="K5" s="12">
        <v>40210</v>
      </c>
      <c r="L5" s="12">
        <v>40238</v>
      </c>
    </row>
    <row r="6" spans="2:12" ht="11.25">
      <c r="B6" s="72"/>
      <c r="C6" s="138"/>
      <c r="D6" s="138"/>
      <c r="E6" s="138"/>
      <c r="F6" s="139"/>
      <c r="G6" s="139"/>
      <c r="H6" s="139"/>
      <c r="I6" s="135"/>
      <c r="J6" s="135"/>
      <c r="K6" s="135"/>
      <c r="L6" s="276"/>
    </row>
    <row r="7" spans="2:14" ht="11.25">
      <c r="B7" s="73" t="s">
        <v>1</v>
      </c>
      <c r="C7" s="38">
        <v>15323.461629775053</v>
      </c>
      <c r="D7" s="133">
        <v>18283.490339990003</v>
      </c>
      <c r="E7" s="133">
        <v>16634.893592155</v>
      </c>
      <c r="F7" s="38">
        <v>-1648.596747835003</v>
      </c>
      <c r="G7" s="133">
        <v>1311.4319623799474</v>
      </c>
      <c r="H7" s="133">
        <v>-9.016860113570111</v>
      </c>
      <c r="I7" s="133">
        <v>11.875018445361786</v>
      </c>
      <c r="J7" s="133">
        <v>19.21280642473342</v>
      </c>
      <c r="K7" s="133">
        <v>8.558327054715242</v>
      </c>
      <c r="L7" s="277">
        <v>8.558327054715242</v>
      </c>
      <c r="N7" s="54"/>
    </row>
    <row r="8" spans="2:12" ht="11.25">
      <c r="B8" s="73" t="s">
        <v>72</v>
      </c>
      <c r="C8" s="38">
        <v>31721.580550101462</v>
      </c>
      <c r="D8" s="133">
        <v>33727.36348329056</v>
      </c>
      <c r="E8" s="133">
        <v>35614.097517095026</v>
      </c>
      <c r="F8" s="271">
        <v>1886.734033804467</v>
      </c>
      <c r="G8" s="141">
        <v>3892.516966993564</v>
      </c>
      <c r="H8" s="133">
        <v>5.5940750742026</v>
      </c>
      <c r="I8" s="133">
        <v>11.81382365150605</v>
      </c>
      <c r="J8" s="133">
        <v>12.259560740078435</v>
      </c>
      <c r="K8" s="133">
        <v>12.270879633017252</v>
      </c>
      <c r="L8" s="277">
        <v>12.270879633017252</v>
      </c>
    </row>
    <row r="9" spans="2:12" ht="11.25">
      <c r="B9" s="75" t="s">
        <v>135</v>
      </c>
      <c r="C9" s="272">
        <v>-5542.586960018538</v>
      </c>
      <c r="D9" s="134">
        <v>-5985.224757806302</v>
      </c>
      <c r="E9" s="134">
        <v>-4098.1300818663</v>
      </c>
      <c r="F9" s="273">
        <v>1887.0946759400013</v>
      </c>
      <c r="G9" s="137">
        <v>1444.4568781522376</v>
      </c>
      <c r="H9" s="134">
        <v>-31.5292199090558</v>
      </c>
      <c r="I9" s="134">
        <v>0.5032884944210725</v>
      </c>
      <c r="J9" s="134">
        <v>-10.58820421287161</v>
      </c>
      <c r="K9" s="134">
        <v>-26.061059367617144</v>
      </c>
      <c r="L9" s="278">
        <v>-26.061059367617144</v>
      </c>
    </row>
    <row r="10" spans="2:12" ht="11.25">
      <c r="B10" s="75" t="s">
        <v>133</v>
      </c>
      <c r="C10" s="272">
        <v>37264.16751012</v>
      </c>
      <c r="D10" s="134">
        <v>39712.58824109686</v>
      </c>
      <c r="E10" s="134">
        <v>39712.227598961326</v>
      </c>
      <c r="F10" s="273">
        <v>-0.36064213553618174</v>
      </c>
      <c r="G10" s="137">
        <v>2448.0600888413246</v>
      </c>
      <c r="H10" s="134">
        <v>-0.0009081305236181221</v>
      </c>
      <c r="I10" s="134">
        <v>9.738189524337116</v>
      </c>
      <c r="J10" s="134">
        <v>8.096499440239246</v>
      </c>
      <c r="K10" s="134">
        <v>6.569474786137364</v>
      </c>
      <c r="L10" s="278">
        <v>6.569474786137364</v>
      </c>
    </row>
    <row r="11" spans="2:12" ht="11.25">
      <c r="B11" s="76" t="s">
        <v>47</v>
      </c>
      <c r="C11" s="272">
        <v>2667.4493241399996</v>
      </c>
      <c r="D11" s="134">
        <v>2798.83484712</v>
      </c>
      <c r="E11" s="134">
        <v>2858.3061544800003</v>
      </c>
      <c r="F11" s="273">
        <v>59.47130736000008</v>
      </c>
      <c r="G11" s="137">
        <v>190.85683034000067</v>
      </c>
      <c r="H11" s="134">
        <v>2.1248594721905807</v>
      </c>
      <c r="I11" s="134">
        <v>6.604838821468362</v>
      </c>
      <c r="J11" s="134">
        <v>11.058649438031454</v>
      </c>
      <c r="K11" s="134">
        <v>7.155031160771319</v>
      </c>
      <c r="L11" s="278">
        <v>7.155031160771319</v>
      </c>
    </row>
    <row r="12" spans="2:12" ht="11.25">
      <c r="B12" s="76" t="s">
        <v>134</v>
      </c>
      <c r="C12" s="272">
        <v>76.56268824000001</v>
      </c>
      <c r="D12" s="134">
        <v>70.72793197000001</v>
      </c>
      <c r="E12" s="134">
        <v>24.46339872</v>
      </c>
      <c r="F12" s="273">
        <v>-46.264533250000014</v>
      </c>
      <c r="G12" s="137">
        <v>-52.09928952000001</v>
      </c>
      <c r="H12" s="134">
        <v>-65.41196944599426</v>
      </c>
      <c r="I12" s="134">
        <v>-4.7705638742564505</v>
      </c>
      <c r="J12" s="134">
        <v>-9.59327857315011</v>
      </c>
      <c r="K12" s="134">
        <v>-68.0478843123756</v>
      </c>
      <c r="L12" s="278">
        <v>-68.0478843123756</v>
      </c>
    </row>
    <row r="13" spans="2:12" ht="11.25">
      <c r="B13" s="76" t="s">
        <v>136</v>
      </c>
      <c r="C13" s="272">
        <v>476.12438514</v>
      </c>
      <c r="D13" s="134">
        <v>414.83191901</v>
      </c>
      <c r="E13" s="134">
        <v>458.34449555</v>
      </c>
      <c r="F13" s="273">
        <v>43.51257654</v>
      </c>
      <c r="G13" s="137">
        <v>-17.77988959000004</v>
      </c>
      <c r="H13" s="134">
        <v>10.489206482433449</v>
      </c>
      <c r="I13" s="134">
        <v>-6.180971061178841</v>
      </c>
      <c r="J13" s="134">
        <v>-20.85419560317098</v>
      </c>
      <c r="K13" s="134">
        <v>-3.7342951012206638</v>
      </c>
      <c r="L13" s="278">
        <v>-3.7342951012206638</v>
      </c>
    </row>
    <row r="14" spans="2:12" ht="11.25">
      <c r="B14" s="76" t="s">
        <v>137</v>
      </c>
      <c r="C14" s="272">
        <v>11724.15125094</v>
      </c>
      <c r="D14" s="134">
        <v>13041.819337406861</v>
      </c>
      <c r="E14" s="134">
        <v>12850.96305547133</v>
      </c>
      <c r="F14" s="273">
        <v>-190.85628193553202</v>
      </c>
      <c r="G14" s="137">
        <v>1126.8118045313295</v>
      </c>
      <c r="H14" s="134">
        <v>-1.4634176183388266</v>
      </c>
      <c r="I14" s="134">
        <v>18.767621912440013</v>
      </c>
      <c r="J14" s="134">
        <v>11.552392291899816</v>
      </c>
      <c r="K14" s="134">
        <v>9.611030942994581</v>
      </c>
      <c r="L14" s="278">
        <v>9.611030942994581</v>
      </c>
    </row>
    <row r="15" spans="2:14" ht="11.25">
      <c r="B15" s="76" t="s">
        <v>48</v>
      </c>
      <c r="C15" s="272">
        <v>22315.02686166</v>
      </c>
      <c r="D15" s="134">
        <v>23383.99920559</v>
      </c>
      <c r="E15" s="134">
        <v>23517.77549474</v>
      </c>
      <c r="F15" s="273">
        <v>133.77628914999877</v>
      </c>
      <c r="G15" s="137">
        <v>1202.7486330799984</v>
      </c>
      <c r="H15" s="134">
        <v>0.5720847318452664</v>
      </c>
      <c r="I15" s="134">
        <v>5.949900480080905</v>
      </c>
      <c r="J15" s="134">
        <v>6.681164572900711</v>
      </c>
      <c r="K15" s="134">
        <v>5.389859669613362</v>
      </c>
      <c r="L15" s="278">
        <v>5.389859669613362</v>
      </c>
      <c r="M15" s="51"/>
      <c r="N15" s="54"/>
    </row>
    <row r="16" spans="2:14" ht="11.25">
      <c r="B16" s="76" t="s">
        <v>132</v>
      </c>
      <c r="C16" s="272">
        <v>4.853</v>
      </c>
      <c r="D16" s="134">
        <v>2.375</v>
      </c>
      <c r="E16" s="134">
        <v>2.375</v>
      </c>
      <c r="F16" s="272">
        <v>0</v>
      </c>
      <c r="G16" s="137">
        <v>-2.4779999999999998</v>
      </c>
      <c r="H16" s="134">
        <v>0</v>
      </c>
      <c r="I16" s="134">
        <v>-51.06119925819081</v>
      </c>
      <c r="J16" s="134">
        <v>-51.06119925819081</v>
      </c>
      <c r="K16" s="134">
        <v>-51.06119925819081</v>
      </c>
      <c r="L16" s="278">
        <v>-51.06119925819081</v>
      </c>
      <c r="M16" s="51"/>
      <c r="N16" s="54"/>
    </row>
    <row r="17" spans="2:12" ht="11.25">
      <c r="B17" s="73" t="s">
        <v>42</v>
      </c>
      <c r="C17" s="38">
        <v>-16871.466554383962</v>
      </c>
      <c r="D17" s="133">
        <v>-20268.154871100553</v>
      </c>
      <c r="E17" s="133">
        <v>-19034.70284857002</v>
      </c>
      <c r="F17" s="273">
        <v>1233.4520225305314</v>
      </c>
      <c r="G17" s="141">
        <v>-2163.2362941860592</v>
      </c>
      <c r="H17" s="133">
        <v>-6.085665075952498</v>
      </c>
      <c r="I17" s="133">
        <v>21.15394640804482</v>
      </c>
      <c r="J17" s="133">
        <v>27.20640094281115</v>
      </c>
      <c r="K17" s="133">
        <v>12.821862801393236</v>
      </c>
      <c r="L17" s="277">
        <v>12.821862801393236</v>
      </c>
    </row>
    <row r="18" spans="2:12" ht="12" thickBot="1">
      <c r="B18" s="77" t="s">
        <v>49</v>
      </c>
      <c r="C18" s="40">
        <v>30173.575625492555</v>
      </c>
      <c r="D18" s="136">
        <v>31742.698952180006</v>
      </c>
      <c r="E18" s="136">
        <v>33214.288260680005</v>
      </c>
      <c r="F18" s="274">
        <v>1471.5893084999989</v>
      </c>
      <c r="G18" s="140">
        <v>3040.7126351874504</v>
      </c>
      <c r="H18" s="136">
        <v>4.635993022259798</v>
      </c>
      <c r="I18" s="136">
        <v>6.6364361142849715</v>
      </c>
      <c r="J18" s="136">
        <v>7.793790404529566</v>
      </c>
      <c r="K18" s="136">
        <v>10.077268584864418</v>
      </c>
      <c r="L18" s="279">
        <v>10.077268584864418</v>
      </c>
    </row>
    <row r="19" spans="2:13" ht="11.25">
      <c r="B19" s="129"/>
      <c r="C19" s="34"/>
      <c r="D19" s="34"/>
      <c r="E19" s="34"/>
      <c r="F19" s="34"/>
      <c r="G19" s="34"/>
      <c r="H19" s="34"/>
      <c r="I19" s="34"/>
      <c r="J19" s="34"/>
      <c r="K19" s="34"/>
      <c r="M19" s="51"/>
    </row>
    <row r="20" spans="2:13" ht="11.25">
      <c r="B20" s="97"/>
      <c r="C20" s="34"/>
      <c r="D20" s="34"/>
      <c r="E20" s="34"/>
      <c r="F20" s="34"/>
      <c r="G20" s="34"/>
      <c r="H20" s="34"/>
      <c r="I20" s="34"/>
      <c r="J20" s="34"/>
      <c r="K20" s="34"/>
      <c r="M20" s="51"/>
    </row>
    <row r="21" spans="2:13" ht="11.25">
      <c r="B21" s="97"/>
      <c r="C21" s="34"/>
      <c r="D21" s="34"/>
      <c r="E21" s="34"/>
      <c r="F21" s="34"/>
      <c r="G21" s="34"/>
      <c r="H21" s="34"/>
      <c r="I21" s="34"/>
      <c r="J21" s="34"/>
      <c r="K21" s="34"/>
      <c r="M21" s="51"/>
    </row>
    <row r="22" spans="2:12" ht="11.25">
      <c r="B22" s="301" t="s">
        <v>75</v>
      </c>
      <c r="C22" s="301"/>
      <c r="D22" s="301"/>
      <c r="E22" s="301"/>
      <c r="F22" s="301"/>
      <c r="G22" s="301"/>
      <c r="H22" s="301"/>
      <c r="I22" s="301"/>
      <c r="J22" s="301"/>
      <c r="K22" s="301"/>
      <c r="L22" s="201"/>
    </row>
    <row r="23" spans="2:12" ht="11.25">
      <c r="B23" s="298" t="s">
        <v>115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04"/>
    </row>
    <row r="24" spans="2:12" ht="11.25">
      <c r="B24" s="70"/>
      <c r="C24" s="22"/>
      <c r="D24" s="22"/>
      <c r="E24" s="22"/>
      <c r="F24" s="293" t="s">
        <v>107</v>
      </c>
      <c r="G24" s="294"/>
      <c r="H24" s="128" t="s">
        <v>125</v>
      </c>
      <c r="I24" s="293" t="s">
        <v>161</v>
      </c>
      <c r="J24" s="295"/>
      <c r="K24" s="296"/>
      <c r="L24" s="203" t="s">
        <v>162</v>
      </c>
    </row>
    <row r="25" spans="2:12" ht="11.25">
      <c r="B25" s="71"/>
      <c r="C25" s="12">
        <f>C5</f>
        <v>39873</v>
      </c>
      <c r="D25" s="12">
        <f>D5</f>
        <v>40233</v>
      </c>
      <c r="E25" s="12">
        <f>E5</f>
        <v>40263</v>
      </c>
      <c r="F25" s="12" t="s">
        <v>110</v>
      </c>
      <c r="G25" s="59" t="s">
        <v>109</v>
      </c>
      <c r="H25" s="59" t="s">
        <v>128</v>
      </c>
      <c r="I25" s="12">
        <v>39814</v>
      </c>
      <c r="J25" s="12">
        <v>40210</v>
      </c>
      <c r="K25" s="12">
        <v>40210</v>
      </c>
      <c r="L25" s="12">
        <v>40238</v>
      </c>
    </row>
    <row r="26" spans="2:12" ht="11.25">
      <c r="B26" s="79"/>
      <c r="C26" s="35"/>
      <c r="D26" s="35"/>
      <c r="E26" s="35"/>
      <c r="F26" s="35"/>
      <c r="G26" s="35"/>
      <c r="H26" s="35"/>
      <c r="I26" s="35"/>
      <c r="J26" s="35"/>
      <c r="K26" s="35"/>
      <c r="L26" s="280"/>
    </row>
    <row r="27" spans="2:12" ht="11.25">
      <c r="B27" s="73" t="s">
        <v>49</v>
      </c>
      <c r="C27" s="38">
        <v>30173.598115635068</v>
      </c>
      <c r="D27" s="38">
        <v>31742.724793915208</v>
      </c>
      <c r="E27" s="38">
        <v>33214.272639465205</v>
      </c>
      <c r="F27" s="38">
        <v>1471.5478455499979</v>
      </c>
      <c r="G27" s="38">
        <v>3040.6745238301373</v>
      </c>
      <c r="H27" s="38">
        <v>4.635858626201114</v>
      </c>
      <c r="I27" s="38">
        <v>6.6364361142849715</v>
      </c>
      <c r="J27" s="38">
        <v>7.793790404529566</v>
      </c>
      <c r="K27" s="38">
        <v>10.077268584864418</v>
      </c>
      <c r="L27" s="281">
        <v>10.077268584864418</v>
      </c>
    </row>
    <row r="28" spans="2:12" ht="11.25">
      <c r="B28" s="75" t="s">
        <v>50</v>
      </c>
      <c r="C28" s="272">
        <v>1227.89744506</v>
      </c>
      <c r="D28" s="272">
        <v>1117.61768683</v>
      </c>
      <c r="E28" s="272">
        <v>1053.0037609300002</v>
      </c>
      <c r="F28" s="272">
        <v>-64.61392589999969</v>
      </c>
      <c r="G28" s="272">
        <v>-174.89368412999988</v>
      </c>
      <c r="H28" s="272">
        <v>-5.781397937900393</v>
      </c>
      <c r="I28" s="272">
        <v>-7.393703221820392</v>
      </c>
      <c r="J28" s="272">
        <v>-9.490817380199168</v>
      </c>
      <c r="K28" s="272">
        <v>-14.243346204002716</v>
      </c>
      <c r="L28" s="282">
        <v>-14.243346204002716</v>
      </c>
    </row>
    <row r="29" spans="2:12" ht="11.25">
      <c r="B29" s="75" t="s">
        <v>51</v>
      </c>
      <c r="C29" s="272">
        <v>18715.12685378043</v>
      </c>
      <c r="D29" s="272">
        <v>21012.00418533521</v>
      </c>
      <c r="E29" s="272">
        <v>21907.628579965207</v>
      </c>
      <c r="F29" s="272">
        <v>895.6243946299983</v>
      </c>
      <c r="G29" s="272">
        <v>3192.501726184775</v>
      </c>
      <c r="H29" s="272">
        <v>4.262441539275327</v>
      </c>
      <c r="I29" s="272">
        <v>17.93679321372892</v>
      </c>
      <c r="J29" s="272">
        <v>18.092941150265716</v>
      </c>
      <c r="K29" s="272">
        <v>17.058402815687536</v>
      </c>
      <c r="L29" s="282">
        <v>17.058402815687536</v>
      </c>
    </row>
    <row r="30" spans="2:12" ht="11.25">
      <c r="B30" s="75" t="s">
        <v>52</v>
      </c>
      <c r="C30" s="272">
        <v>10226.672858550273</v>
      </c>
      <c r="D30" s="272">
        <v>9609.17292175</v>
      </c>
      <c r="E30" s="272">
        <v>10249.710298569998</v>
      </c>
      <c r="F30" s="272">
        <v>640.5373768199988</v>
      </c>
      <c r="G30" s="272">
        <v>23.03744001972518</v>
      </c>
      <c r="H30" s="272">
        <v>6.665894994668757</v>
      </c>
      <c r="I30" s="272">
        <v>-10.267026446265104</v>
      </c>
      <c r="J30" s="272">
        <v>-7.747208247472937</v>
      </c>
      <c r="K30" s="272">
        <v>0.2252681819235436</v>
      </c>
      <c r="L30" s="282">
        <v>0.2252681819235436</v>
      </c>
    </row>
    <row r="31" spans="2:12" ht="12" thickBot="1">
      <c r="B31" s="80" t="s">
        <v>105</v>
      </c>
      <c r="C31" s="272">
        <v>3.9009582443606554</v>
      </c>
      <c r="D31" s="272">
        <v>3.93</v>
      </c>
      <c r="E31" s="272">
        <v>3.93</v>
      </c>
      <c r="F31" s="272">
        <v>0</v>
      </c>
      <c r="G31" s="272">
        <v>0.029041755639344746</v>
      </c>
      <c r="H31" s="272">
        <v>0</v>
      </c>
      <c r="I31" s="272">
        <v>0.7444774801506293</v>
      </c>
      <c r="J31" s="272">
        <v>0.12991166949594124</v>
      </c>
      <c r="K31" s="272">
        <v>0.7444774801506293</v>
      </c>
      <c r="L31" s="283">
        <v>0.7444774801506293</v>
      </c>
    </row>
    <row r="32" spans="2:11" ht="11.25">
      <c r="B32" s="42"/>
      <c r="C32" s="60"/>
      <c r="D32" s="60"/>
      <c r="E32" s="60"/>
      <c r="F32" s="60"/>
      <c r="G32" s="60"/>
      <c r="H32" s="60"/>
      <c r="I32" s="60"/>
      <c r="J32" s="60"/>
      <c r="K32" s="60"/>
    </row>
    <row r="33" spans="2:11" ht="11.25">
      <c r="B33" s="42"/>
      <c r="C33" s="23"/>
      <c r="D33" s="23"/>
      <c r="E33" s="23"/>
      <c r="F33" s="23"/>
      <c r="G33" s="23"/>
      <c r="H33" s="23"/>
      <c r="I33" s="23"/>
      <c r="J33" s="23"/>
      <c r="K33" s="23"/>
    </row>
    <row r="34" spans="2:11" ht="11.25">
      <c r="B34" s="97"/>
      <c r="C34" s="34"/>
      <c r="D34" s="34"/>
      <c r="E34" s="34"/>
      <c r="F34" s="34"/>
      <c r="G34" s="34"/>
      <c r="H34" s="34"/>
      <c r="I34" s="34"/>
      <c r="J34" s="34"/>
      <c r="K34" s="34"/>
    </row>
    <row r="35" spans="2:12" ht="11.25">
      <c r="B35" s="300" t="s">
        <v>75</v>
      </c>
      <c r="C35" s="301"/>
      <c r="D35" s="301"/>
      <c r="E35" s="301"/>
      <c r="F35" s="301"/>
      <c r="G35" s="301"/>
      <c r="H35" s="301"/>
      <c r="I35" s="301"/>
      <c r="J35" s="301"/>
      <c r="K35" s="301"/>
      <c r="L35" s="201"/>
    </row>
    <row r="36" spans="2:12" ht="11.25">
      <c r="B36" s="298" t="s">
        <v>169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04"/>
    </row>
    <row r="37" spans="2:12" ht="11.25">
      <c r="B37" s="70"/>
      <c r="C37" s="22"/>
      <c r="D37" s="22"/>
      <c r="E37" s="22"/>
      <c r="F37" s="293" t="s">
        <v>107</v>
      </c>
      <c r="G37" s="294"/>
      <c r="H37" s="128" t="s">
        <v>126</v>
      </c>
      <c r="I37" s="293" t="s">
        <v>161</v>
      </c>
      <c r="J37" s="295"/>
      <c r="K37" s="296"/>
      <c r="L37" s="202" t="s">
        <v>162</v>
      </c>
    </row>
    <row r="38" spans="2:12" ht="11.25">
      <c r="B38" s="71"/>
      <c r="C38" s="12">
        <f>C25</f>
        <v>39873</v>
      </c>
      <c r="D38" s="12">
        <f>D25</f>
        <v>40233</v>
      </c>
      <c r="E38" s="12">
        <f>E25</f>
        <v>40263</v>
      </c>
      <c r="F38" s="12" t="s">
        <v>110</v>
      </c>
      <c r="G38" s="59" t="s">
        <v>109</v>
      </c>
      <c r="H38" s="59" t="s">
        <v>128</v>
      </c>
      <c r="I38" s="12">
        <v>39814</v>
      </c>
      <c r="J38" s="12">
        <v>40210</v>
      </c>
      <c r="K38" s="12">
        <v>40210</v>
      </c>
      <c r="L38" s="12">
        <v>40238</v>
      </c>
    </row>
    <row r="39" spans="2:12" ht="11.25">
      <c r="B39" s="81"/>
      <c r="C39" s="36"/>
      <c r="D39" s="86"/>
      <c r="E39" s="86"/>
      <c r="F39" s="36"/>
      <c r="G39" s="37"/>
      <c r="H39" s="37"/>
      <c r="I39" s="37"/>
      <c r="J39" s="37"/>
      <c r="K39" s="37"/>
      <c r="L39" s="284"/>
    </row>
    <row r="40" spans="2:12" ht="11.25">
      <c r="B40" s="82" t="s">
        <v>138</v>
      </c>
      <c r="C40" s="150">
        <v>33938.69662539</v>
      </c>
      <c r="D40" s="150">
        <v>36436.67501130686</v>
      </c>
      <c r="E40" s="150">
        <v>36323.77506551133</v>
      </c>
      <c r="F40" s="150">
        <v>-112.89994579553604</v>
      </c>
      <c r="G40" s="150">
        <v>2385.078440121324</v>
      </c>
      <c r="H40" s="150">
        <v>-0.309852492743922</v>
      </c>
      <c r="I40" s="150">
        <v>10.60943796911491</v>
      </c>
      <c r="J40" s="150">
        <v>8.724463378371583</v>
      </c>
      <c r="K40" s="150">
        <v>7.027607649307943</v>
      </c>
      <c r="L40" s="285">
        <v>7.027607649307943</v>
      </c>
    </row>
    <row r="41" spans="2:12" ht="11.25">
      <c r="B41" s="186" t="s">
        <v>47</v>
      </c>
      <c r="C41" s="187">
        <v>2667.4493241399996</v>
      </c>
      <c r="D41" s="187">
        <v>2798.83484712</v>
      </c>
      <c r="E41" s="187">
        <v>2858.3061544800003</v>
      </c>
      <c r="F41" s="187">
        <v>59.47130736000008</v>
      </c>
      <c r="G41" s="187">
        <v>190.85683034000067</v>
      </c>
      <c r="H41" s="187">
        <v>2.1248594721905807</v>
      </c>
      <c r="I41" s="187">
        <v>6.604838821468362</v>
      </c>
      <c r="J41" s="187">
        <v>11.058649438031454</v>
      </c>
      <c r="K41" s="187">
        <v>7.155031160771319</v>
      </c>
      <c r="L41" s="286">
        <v>7.155031160771319</v>
      </c>
    </row>
    <row r="42" spans="2:12" ht="11.25">
      <c r="B42" s="83" t="s">
        <v>139</v>
      </c>
      <c r="C42" s="166">
        <v>11683.453951880001</v>
      </c>
      <c r="D42" s="166">
        <v>13013.463031156862</v>
      </c>
      <c r="E42" s="166">
        <v>12794.824749221329</v>
      </c>
      <c r="F42" s="166">
        <v>-218.6382819355331</v>
      </c>
      <c r="G42" s="166">
        <v>1111.3707973413275</v>
      </c>
      <c r="H42" s="166">
        <v>-1.6800930037766952</v>
      </c>
      <c r="I42" s="166">
        <v>18.798190724033013</v>
      </c>
      <c r="J42" s="166">
        <v>11.640848777073941</v>
      </c>
      <c r="K42" s="166">
        <v>9.512347991601366</v>
      </c>
      <c r="L42" s="287">
        <v>9.512347991601366</v>
      </c>
    </row>
    <row r="43" spans="2:12" ht="11.25">
      <c r="B43" s="84" t="s">
        <v>82</v>
      </c>
      <c r="C43" s="152">
        <v>8868.07489596</v>
      </c>
      <c r="D43" s="152">
        <v>9931.676497046861</v>
      </c>
      <c r="E43" s="152">
        <v>9682.633669831328</v>
      </c>
      <c r="F43" s="151">
        <v>-249.04282721553318</v>
      </c>
      <c r="G43" s="151">
        <v>814.5587738713275</v>
      </c>
      <c r="H43" s="151">
        <v>-2.507560805968508</v>
      </c>
      <c r="I43" s="151">
        <v>22.409472980587818</v>
      </c>
      <c r="J43" s="151">
        <v>13.056715822711794</v>
      </c>
      <c r="K43" s="151">
        <v>9.185294254138675</v>
      </c>
      <c r="L43" s="286">
        <v>9.185294254138675</v>
      </c>
    </row>
    <row r="44" spans="2:12" ht="11.25">
      <c r="B44" s="85" t="s">
        <v>83</v>
      </c>
      <c r="C44" s="153">
        <v>2680.18487242</v>
      </c>
      <c r="D44" s="153">
        <v>3154.00697654686</v>
      </c>
      <c r="E44" s="153">
        <v>3230.8953186413296</v>
      </c>
      <c r="F44" s="151">
        <v>76.88834209446941</v>
      </c>
      <c r="G44" s="151">
        <v>550.7104462213297</v>
      </c>
      <c r="H44" s="151">
        <v>2.437798732412761</v>
      </c>
      <c r="I44" s="151">
        <v>19.972639168481376</v>
      </c>
      <c r="J44" s="151">
        <v>17.337702323611936</v>
      </c>
      <c r="K44" s="151">
        <v>20.547479835750316</v>
      </c>
      <c r="L44" s="286">
        <v>20.547479835750316</v>
      </c>
    </row>
    <row r="45" spans="2:12" ht="11.25">
      <c r="B45" s="85" t="s">
        <v>84</v>
      </c>
      <c r="C45" s="153">
        <v>1846.67694265</v>
      </c>
      <c r="D45" s="153">
        <v>2051.31138823</v>
      </c>
      <c r="E45" s="153">
        <v>2049.29539932</v>
      </c>
      <c r="F45" s="151">
        <v>-2.0159889100000328</v>
      </c>
      <c r="G45" s="151">
        <v>202.6184566699999</v>
      </c>
      <c r="H45" s="151">
        <v>-0.09827805381315387</v>
      </c>
      <c r="I45" s="151">
        <v>22.320547199578854</v>
      </c>
      <c r="J45" s="151">
        <v>12.925665406096854</v>
      </c>
      <c r="K45" s="151">
        <v>10.972057536996171</v>
      </c>
      <c r="L45" s="286">
        <v>10.972057536996171</v>
      </c>
    </row>
    <row r="46" spans="2:12" ht="11.25">
      <c r="B46" s="85" t="s">
        <v>85</v>
      </c>
      <c r="C46" s="153">
        <v>4341.21308089</v>
      </c>
      <c r="D46" s="153">
        <v>4726.358132270001</v>
      </c>
      <c r="E46" s="153">
        <v>4402.44295187</v>
      </c>
      <c r="F46" s="151">
        <v>-323.9151804000012</v>
      </c>
      <c r="G46" s="151">
        <v>61.22987097999976</v>
      </c>
      <c r="H46" s="151">
        <v>-6.853377829928207</v>
      </c>
      <c r="I46" s="151">
        <v>23.92714435167833</v>
      </c>
      <c r="J46" s="151">
        <v>10.42386332670846</v>
      </c>
      <c r="K46" s="151">
        <v>1.4104322879135545</v>
      </c>
      <c r="L46" s="286">
        <v>1.4104322879135545</v>
      </c>
    </row>
    <row r="47" spans="2:12" ht="11.25">
      <c r="B47" s="84" t="s">
        <v>86</v>
      </c>
      <c r="C47" s="153">
        <v>1904.5817934</v>
      </c>
      <c r="D47" s="153">
        <v>2006.76190418</v>
      </c>
      <c r="E47" s="153">
        <v>2034.13370831</v>
      </c>
      <c r="F47" s="151">
        <v>27.371804129999873</v>
      </c>
      <c r="G47" s="151">
        <v>129.55191491000005</v>
      </c>
      <c r="H47" s="151">
        <v>1.3639786599987553</v>
      </c>
      <c r="I47" s="151">
        <v>8.749099658983495</v>
      </c>
      <c r="J47" s="151">
        <v>6.794042639983577</v>
      </c>
      <c r="K47" s="151">
        <v>6.802118730680928</v>
      </c>
      <c r="L47" s="286">
        <v>6.802118730680928</v>
      </c>
    </row>
    <row r="48" spans="2:12" ht="11.25">
      <c r="B48" s="84" t="s">
        <v>87</v>
      </c>
      <c r="C48" s="153">
        <v>59.23231009</v>
      </c>
      <c r="D48" s="153">
        <v>67.908</v>
      </c>
      <c r="E48" s="153">
        <v>67.866</v>
      </c>
      <c r="F48" s="151">
        <v>-0.04200000000000159</v>
      </c>
      <c r="G48" s="151">
        <v>8.633689910000001</v>
      </c>
      <c r="H48" s="151">
        <v>-0.061848383106558276</v>
      </c>
      <c r="I48" s="151">
        <v>2.329616866719242</v>
      </c>
      <c r="J48" s="151">
        <v>7.447477084085463</v>
      </c>
      <c r="K48" s="151">
        <v>14.575980401374888</v>
      </c>
      <c r="L48" s="286">
        <v>14.575980401374888</v>
      </c>
    </row>
    <row r="49" spans="2:12" ht="11.25">
      <c r="B49" s="84" t="s">
        <v>88</v>
      </c>
      <c r="C49" s="153">
        <v>851.5649524300001</v>
      </c>
      <c r="D49" s="153">
        <v>1007.11662993</v>
      </c>
      <c r="E49" s="153">
        <v>1010.1913710800002</v>
      </c>
      <c r="F49" s="151">
        <v>3.0747411500001363</v>
      </c>
      <c r="G49" s="151">
        <v>158.62641865000012</v>
      </c>
      <c r="H49" s="151">
        <v>0.30530139793380706</v>
      </c>
      <c r="I49" s="151">
        <v>6.7727723461815215</v>
      </c>
      <c r="J49" s="151">
        <v>8.343260267032626</v>
      </c>
      <c r="K49" s="151">
        <v>18.627635883481176</v>
      </c>
      <c r="L49" s="286">
        <v>18.627635883481176</v>
      </c>
    </row>
    <row r="50" spans="2:13" ht="11.25">
      <c r="B50" s="83" t="s">
        <v>122</v>
      </c>
      <c r="C50" s="165">
        <v>22170.00167351</v>
      </c>
      <c r="D50" s="165">
        <v>23316.42198015</v>
      </c>
      <c r="E50" s="165">
        <v>23420.35931629</v>
      </c>
      <c r="F50" s="166">
        <v>103.93733613999939</v>
      </c>
      <c r="G50" s="166">
        <v>1250.3576427799999</v>
      </c>
      <c r="H50" s="166">
        <v>0.44576880718870376</v>
      </c>
      <c r="I50" s="166">
        <v>6.329293574015904</v>
      </c>
      <c r="J50" s="166">
        <v>7.079055487292041</v>
      </c>
      <c r="K50" s="166">
        <v>5.6398626449992495</v>
      </c>
      <c r="L50" s="287">
        <v>5.6398626449992495</v>
      </c>
      <c r="M50" s="49"/>
    </row>
    <row r="51" spans="2:12" ht="11.25">
      <c r="B51" s="84" t="s">
        <v>89</v>
      </c>
      <c r="C51" s="154">
        <v>18079.85742018</v>
      </c>
      <c r="D51" s="154">
        <v>19274.39714311</v>
      </c>
      <c r="E51" s="154">
        <v>19359.39887063</v>
      </c>
      <c r="F51" s="151">
        <v>85.00172752000071</v>
      </c>
      <c r="G51" s="151">
        <v>1279.5414504500004</v>
      </c>
      <c r="H51" s="151">
        <v>0.4410084885606199</v>
      </c>
      <c r="I51" s="151">
        <v>7.607905616818744</v>
      </c>
      <c r="J51" s="151">
        <v>8.54017427481657</v>
      </c>
      <c r="K51" s="151">
        <v>7.077165603207836</v>
      </c>
      <c r="L51" s="286">
        <v>7.077165603207836</v>
      </c>
    </row>
    <row r="52" spans="2:12" ht="11.25">
      <c r="B52" s="85" t="s">
        <v>83</v>
      </c>
      <c r="C52" s="153">
        <v>14630.14275992</v>
      </c>
      <c r="D52" s="153">
        <v>15514.26269879</v>
      </c>
      <c r="E52" s="153">
        <v>15589.263308009999</v>
      </c>
      <c r="F52" s="151">
        <v>75.0006092199983</v>
      </c>
      <c r="G52" s="151">
        <v>959.1205480899989</v>
      </c>
      <c r="H52" s="151">
        <v>0.483430058367181</v>
      </c>
      <c r="I52" s="151">
        <v>7.680001572533834</v>
      </c>
      <c r="J52" s="151">
        <v>7.708064672570747</v>
      </c>
      <c r="K52" s="151">
        <v>6.555783930677395</v>
      </c>
      <c r="L52" s="286">
        <v>6.555783930677395</v>
      </c>
    </row>
    <row r="53" spans="2:12" ht="11.25">
      <c r="B53" s="85" t="s">
        <v>90</v>
      </c>
      <c r="C53" s="153">
        <v>2154.5162117800005</v>
      </c>
      <c r="D53" s="153">
        <v>2323.66438563</v>
      </c>
      <c r="E53" s="153">
        <v>2316.537389650001</v>
      </c>
      <c r="F53" s="151">
        <v>-7.126995979999265</v>
      </c>
      <c r="G53" s="151">
        <v>162.02117787000043</v>
      </c>
      <c r="H53" s="151">
        <v>-0.3067136555551661</v>
      </c>
      <c r="I53" s="151">
        <v>13.48029293001658</v>
      </c>
      <c r="J53" s="151">
        <v>12.789241547441431</v>
      </c>
      <c r="K53" s="151">
        <v>7.520072347756579</v>
      </c>
      <c r="L53" s="286">
        <v>7.520072347756579</v>
      </c>
    </row>
    <row r="54" spans="2:12" ht="11.25">
      <c r="B54" s="85" t="s">
        <v>85</v>
      </c>
      <c r="C54" s="153">
        <v>1295.19844848</v>
      </c>
      <c r="D54" s="153">
        <v>1436.47005869</v>
      </c>
      <c r="E54" s="153">
        <v>1453.59817297</v>
      </c>
      <c r="F54" s="151">
        <v>17.128114279999863</v>
      </c>
      <c r="G54" s="151">
        <v>158.39972448999993</v>
      </c>
      <c r="H54" s="151">
        <v>1.1923753075382566</v>
      </c>
      <c r="I54" s="151">
        <v>-2.714318753207823</v>
      </c>
      <c r="J54" s="151">
        <v>11.038374637218507</v>
      </c>
      <c r="K54" s="151">
        <v>12.229764842282842</v>
      </c>
      <c r="L54" s="286">
        <v>12.229764842282842</v>
      </c>
    </row>
    <row r="55" spans="2:12" ht="11.25">
      <c r="B55" s="84" t="s">
        <v>86</v>
      </c>
      <c r="C55" s="153">
        <v>3331.3252348600004</v>
      </c>
      <c r="D55" s="153">
        <v>3316.4027344000006</v>
      </c>
      <c r="E55" s="153">
        <v>3342.13104886</v>
      </c>
      <c r="F55" s="151">
        <v>25.728314459999638</v>
      </c>
      <c r="G55" s="151">
        <v>10.805813999999828</v>
      </c>
      <c r="H55" s="151">
        <v>0.7757898096370486</v>
      </c>
      <c r="I55" s="151">
        <v>-0.34244423358981146</v>
      </c>
      <c r="J55" s="151">
        <v>1.0219306068957712</v>
      </c>
      <c r="K55" s="151">
        <v>0.3243698299681075</v>
      </c>
      <c r="L55" s="286">
        <v>0.3243698299681075</v>
      </c>
    </row>
    <row r="56" spans="2:12" ht="11.25">
      <c r="B56" s="84" t="s">
        <v>87</v>
      </c>
      <c r="C56" s="153">
        <v>89.72919834</v>
      </c>
      <c r="D56" s="153">
        <v>84.83033542999999</v>
      </c>
      <c r="E56" s="153">
        <v>86.90080815000002</v>
      </c>
      <c r="F56" s="151">
        <v>2.0704727200000264</v>
      </c>
      <c r="G56" s="151">
        <v>-2.828390189999979</v>
      </c>
      <c r="H56" s="151">
        <v>2.4407220713025852</v>
      </c>
      <c r="I56" s="151">
        <v>-5.053453862344615</v>
      </c>
      <c r="J56" s="151">
        <v>-8.744113092485728</v>
      </c>
      <c r="K56" s="151">
        <v>-3.15214026462457</v>
      </c>
      <c r="L56" s="286">
        <v>-3.15214026462457</v>
      </c>
    </row>
    <row r="57" spans="2:12" ht="11.25">
      <c r="B57" s="84" t="s">
        <v>88</v>
      </c>
      <c r="C57" s="153">
        <v>669.08982013</v>
      </c>
      <c r="D57" s="153">
        <v>640.79176721</v>
      </c>
      <c r="E57" s="153">
        <v>631.92858865</v>
      </c>
      <c r="F57" s="151">
        <v>-8.863178559999938</v>
      </c>
      <c r="G57" s="151">
        <v>-37.16123147999997</v>
      </c>
      <c r="H57" s="151">
        <v>-1.3831604919941647</v>
      </c>
      <c r="I57" s="151">
        <v>6.444301563049226</v>
      </c>
      <c r="J57" s="151">
        <v>-0.07945542872760392</v>
      </c>
      <c r="K57" s="151">
        <v>-5.553997439802593</v>
      </c>
      <c r="L57" s="286">
        <v>-5.553997439802593</v>
      </c>
    </row>
    <row r="58" spans="2:12" ht="12" thickBot="1">
      <c r="B58" s="275" t="s">
        <v>91</v>
      </c>
      <c r="C58" s="167">
        <v>85.241</v>
      </c>
      <c r="D58" s="167">
        <v>106.79</v>
      </c>
      <c r="E58" s="192">
        <v>108.591</v>
      </c>
      <c r="F58" s="167">
        <v>1.8009999999999877</v>
      </c>
      <c r="G58" s="167">
        <v>23.349999999999994</v>
      </c>
      <c r="H58" s="167">
        <v>1.6864874988294667</v>
      </c>
      <c r="I58" s="167">
        <v>31.36776602364655</v>
      </c>
      <c r="J58" s="167">
        <v>31.264212402433778</v>
      </c>
      <c r="K58" s="167">
        <v>27.39292124681785</v>
      </c>
      <c r="L58" s="288">
        <v>27.39292124681785</v>
      </c>
    </row>
    <row r="59" ht="11.25">
      <c r="B59" s="55" t="s">
        <v>121</v>
      </c>
    </row>
    <row r="62" spans="2:11" ht="12">
      <c r="B62" s="297"/>
      <c r="C62" s="297"/>
      <c r="D62" s="297"/>
      <c r="E62" s="297"/>
      <c r="F62" s="297"/>
      <c r="G62" s="297"/>
      <c r="H62" s="297"/>
      <c r="I62" s="297"/>
      <c r="J62" s="297"/>
      <c r="K62" s="297"/>
    </row>
  </sheetData>
  <sheetProtection/>
  <mergeCells count="13">
    <mergeCell ref="B2:K2"/>
    <mergeCell ref="B22:K22"/>
    <mergeCell ref="B23:K23"/>
    <mergeCell ref="B3:K3"/>
    <mergeCell ref="I4:K4"/>
    <mergeCell ref="F4:G4"/>
    <mergeCell ref="F24:G24"/>
    <mergeCell ref="I24:K24"/>
    <mergeCell ref="B62:K62"/>
    <mergeCell ref="B36:K36"/>
    <mergeCell ref="I37:K37"/>
    <mergeCell ref="F37:G37"/>
    <mergeCell ref="B35:K3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X37"/>
  <sheetViews>
    <sheetView showGridLines="0" zoomScale="80" zoomScaleNormal="80" workbookViewId="0" topLeftCell="A1">
      <selection activeCell="C11" sqref="C11"/>
    </sheetView>
  </sheetViews>
  <sheetFormatPr defaultColWidth="9.140625" defaultRowHeight="12"/>
  <cols>
    <col min="1" max="16384" width="9.28125" style="1" customWidth="1"/>
  </cols>
  <sheetData>
    <row r="2" spans="1:14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5">
      <c r="A3" s="64"/>
      <c r="N3" s="64"/>
    </row>
    <row r="4" spans="1:17" ht="15">
      <c r="A4" s="184"/>
      <c r="N4" s="184"/>
      <c r="O4" s="185"/>
      <c r="P4" s="185"/>
      <c r="Q4" s="185"/>
    </row>
    <row r="5" spans="1:17" ht="15.75">
      <c r="A5" s="184"/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96"/>
      <c r="N5" s="184"/>
      <c r="O5" s="185"/>
      <c r="P5" s="185"/>
      <c r="Q5" s="185"/>
    </row>
    <row r="6" spans="1:17" ht="15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  <c r="P6" s="185"/>
      <c r="Q6" s="185"/>
    </row>
    <row r="7" spans="1:17" ht="15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5"/>
      <c r="P7" s="185"/>
      <c r="Q7" s="185"/>
    </row>
    <row r="8" spans="1:17" ht="15.75">
      <c r="A8" s="184"/>
      <c r="B8" s="184"/>
      <c r="C8" s="305" t="s">
        <v>166</v>
      </c>
      <c r="D8" s="306"/>
      <c r="E8" s="306"/>
      <c r="F8" s="306"/>
      <c r="G8" s="306"/>
      <c r="H8" s="306"/>
      <c r="I8" s="306"/>
      <c r="J8" s="306"/>
      <c r="K8" s="306"/>
      <c r="L8" s="306"/>
      <c r="M8" s="307"/>
      <c r="N8" s="307"/>
      <c r="O8" s="185"/>
      <c r="P8" s="185"/>
      <c r="Q8" s="185"/>
    </row>
    <row r="9" spans="1:17" ht="1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185"/>
      <c r="Q9" s="185"/>
    </row>
    <row r="10" spans="1:17" ht="1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5"/>
      <c r="P10" s="185"/>
      <c r="Q10" s="185"/>
    </row>
    <row r="11" spans="1:17" ht="15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5"/>
      <c r="P11" s="185"/>
      <c r="Q11" s="185"/>
    </row>
    <row r="12" spans="1:17" ht="15">
      <c r="A12" s="184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5"/>
      <c r="P12" s="185"/>
      <c r="Q12" s="185"/>
    </row>
    <row r="13" spans="1:17" ht="15">
      <c r="A13" s="184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5"/>
      <c r="P13" s="185"/>
      <c r="Q13" s="185"/>
    </row>
    <row r="14" spans="1:17" ht="1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185"/>
      <c r="Q14" s="185"/>
    </row>
    <row r="15" spans="1:17" ht="15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5"/>
      <c r="P15" s="185"/>
      <c r="Q15" s="185"/>
    </row>
    <row r="16" spans="1:24" ht="15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5"/>
      <c r="P16" s="185"/>
      <c r="Q16" s="185"/>
      <c r="X16" s="268"/>
    </row>
    <row r="17" spans="1:17" ht="15">
      <c r="A17" s="184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5"/>
      <c r="P17" s="185"/>
      <c r="Q17" s="185"/>
    </row>
    <row r="18" spans="1:17" ht="1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185"/>
      <c r="Q18" s="185"/>
    </row>
    <row r="19" spans="1:17" ht="15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5"/>
      <c r="P19" s="185"/>
      <c r="Q19" s="185"/>
    </row>
    <row r="20" spans="1:17" ht="15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5"/>
      <c r="P20" s="185"/>
      <c r="Q20" s="185"/>
    </row>
    <row r="21" spans="1:17" ht="15">
      <c r="A21" s="185"/>
      <c r="B21" s="185"/>
      <c r="C21" s="185"/>
      <c r="D21" s="184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 ht="15">
      <c r="A22" s="185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>
      <c r="A23" s="185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ht="1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5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7" ht="1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7" ht="15">
      <c r="A30" s="185"/>
      <c r="C30" s="15"/>
      <c r="D30" s="190"/>
      <c r="E30" s="190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7" ht="15">
      <c r="A31" s="18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6"/>
      <c r="N31" s="185"/>
      <c r="O31" s="185"/>
      <c r="P31" s="185"/>
      <c r="Q31" s="185"/>
    </row>
    <row r="32" spans="1:17" ht="15">
      <c r="A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1:17" ht="15">
      <c r="A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ht="15.75">
      <c r="A34" s="185"/>
      <c r="C34" s="94" t="s">
        <v>171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1:17" ht="15">
      <c r="A35" s="185"/>
      <c r="N35" s="185"/>
      <c r="O35" s="185"/>
      <c r="P35" s="185"/>
      <c r="Q35" s="185"/>
    </row>
    <row r="36" spans="2:5" ht="15">
      <c r="B36" s="127"/>
      <c r="C36" s="62"/>
      <c r="D36" s="62"/>
      <c r="E36" s="62"/>
    </row>
    <row r="37" ht="15">
      <c r="B37" s="189"/>
    </row>
  </sheetData>
  <sheetProtection/>
  <mergeCells count="1">
    <mergeCell ref="C8:N8"/>
  </mergeCells>
  <printOptions horizontalCentered="1"/>
  <pageMargins left="0.43" right="0.29" top="1" bottom="1" header="0.5" footer="0.5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68"/>
  <sheetViews>
    <sheetView showGridLines="0" zoomScale="80" zoomScaleNormal="80" zoomScalePageLayoutView="0" workbookViewId="0" topLeftCell="A4">
      <selection activeCell="N15" sqref="N15"/>
    </sheetView>
  </sheetViews>
  <sheetFormatPr defaultColWidth="9.140625" defaultRowHeight="12"/>
  <sheetData>
    <row r="4" spans="2:13" ht="18.75" customHeight="1">
      <c r="B4" s="305" t="s">
        <v>164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2:13" ht="18.75" customHeight="1"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2:13" ht="18.75" customHeight="1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2:13" ht="15.75"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2:13" ht="15.75"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2:13" ht="15.75"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2:13" ht="15.75"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</row>
    <row r="11" spans="2:13" ht="15.75"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37" spans="2:13" ht="18">
      <c r="B37" s="308" t="s">
        <v>129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</row>
    <row r="38" ht="11.25">
      <c r="A38" s="130"/>
    </row>
    <row r="43" spans="2:13" ht="15.75">
      <c r="B43" s="94"/>
      <c r="C43" s="290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68" ht="11.25">
      <c r="B68" s="62"/>
    </row>
  </sheetData>
  <sheetProtection/>
  <mergeCells count="2">
    <mergeCell ref="B4:M4"/>
    <mergeCell ref="B37:M37"/>
  </mergeCells>
  <printOptions/>
  <pageMargins left="0.7" right="0.7" top="0.75" bottom="0.75" header="0.3" footer="0.3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zoomScale="110" zoomScaleNormal="110" zoomScaleSheetLayoutView="75" zoomScalePageLayoutView="0" workbookViewId="0" topLeftCell="A1">
      <selection activeCell="E81" sqref="E81"/>
    </sheetView>
  </sheetViews>
  <sheetFormatPr defaultColWidth="9.140625" defaultRowHeight="12"/>
  <cols>
    <col min="1" max="1" width="83.140625" style="2" customWidth="1"/>
    <col min="2" max="2" width="12.421875" style="2" customWidth="1"/>
    <col min="3" max="3" width="13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.75" thickBot="1">
      <c r="A1" s="21" t="s">
        <v>43</v>
      </c>
    </row>
    <row r="2" spans="1:4" ht="12.75" thickBot="1">
      <c r="A2" s="3" t="s">
        <v>2</v>
      </c>
      <c r="B2" s="47">
        <v>40210</v>
      </c>
      <c r="C2" s="47">
        <v>40238</v>
      </c>
      <c r="D2" s="4"/>
    </row>
    <row r="3" spans="1:4" ht="12">
      <c r="A3" s="5"/>
      <c r="B3" s="32"/>
      <c r="C3" s="32"/>
      <c r="D3" s="4"/>
    </row>
    <row r="4" spans="1:4" ht="12">
      <c r="A4" s="5" t="s">
        <v>159</v>
      </c>
      <c r="B4" s="33">
        <v>7</v>
      </c>
      <c r="C4" s="33">
        <v>7</v>
      </c>
      <c r="D4" s="4"/>
    </row>
    <row r="5" spans="1:4" ht="12">
      <c r="A5" s="5"/>
      <c r="B5" s="33"/>
      <c r="C5" s="33"/>
      <c r="D5" s="4"/>
    </row>
    <row r="6" spans="1:4" ht="12">
      <c r="A6" s="5" t="s">
        <v>39</v>
      </c>
      <c r="B6" s="33">
        <v>11.25</v>
      </c>
      <c r="C6" s="33">
        <v>11.25</v>
      </c>
      <c r="D6" s="4"/>
    </row>
    <row r="7" spans="1:4" ht="12">
      <c r="A7" s="5"/>
      <c r="B7" s="33"/>
      <c r="C7" s="33"/>
      <c r="D7" s="4"/>
    </row>
    <row r="8" spans="1:4" ht="12">
      <c r="A8" s="5" t="s">
        <v>3</v>
      </c>
      <c r="B8" s="33">
        <v>11.63</v>
      </c>
      <c r="C8" s="33">
        <v>11.63</v>
      </c>
      <c r="D8" s="4"/>
    </row>
    <row r="9" spans="1:4" ht="12">
      <c r="A9" s="5"/>
      <c r="B9" s="33"/>
      <c r="C9" s="33"/>
      <c r="D9" s="4"/>
    </row>
    <row r="10" spans="1:4" ht="12">
      <c r="A10" s="5" t="s">
        <v>101</v>
      </c>
      <c r="B10" s="33">
        <v>10.15</v>
      </c>
      <c r="C10" s="33">
        <v>10.06</v>
      </c>
      <c r="D10" s="4"/>
    </row>
    <row r="11" spans="1:4" ht="12">
      <c r="A11" s="5"/>
      <c r="B11" s="33"/>
      <c r="C11" s="33"/>
      <c r="D11" s="4"/>
    </row>
    <row r="12" spans="1:4" ht="12">
      <c r="A12" s="5" t="s">
        <v>4</v>
      </c>
      <c r="B12" s="33">
        <v>5.27</v>
      </c>
      <c r="C12" s="33">
        <v>5.31</v>
      </c>
      <c r="D12" s="4"/>
    </row>
    <row r="13" spans="1:4" ht="12">
      <c r="A13" s="5"/>
      <c r="B13" s="33"/>
      <c r="C13" s="33"/>
      <c r="D13" s="4"/>
    </row>
    <row r="14" spans="1:4" ht="12">
      <c r="A14" s="6" t="s">
        <v>5</v>
      </c>
      <c r="B14" s="33"/>
      <c r="C14" s="33"/>
      <c r="D14" s="4"/>
    </row>
    <row r="15" spans="1:3" ht="12">
      <c r="A15" s="5"/>
      <c r="B15" s="33"/>
      <c r="C15" s="33"/>
    </row>
    <row r="16" spans="1:3" ht="12">
      <c r="A16" s="5" t="s">
        <v>6</v>
      </c>
      <c r="B16" s="50">
        <v>7.02</v>
      </c>
      <c r="C16" s="50">
        <v>6.93</v>
      </c>
    </row>
    <row r="17" spans="1:3" ht="12">
      <c r="A17" s="5" t="s">
        <v>38</v>
      </c>
      <c r="B17" s="50">
        <v>7.26</v>
      </c>
      <c r="C17" s="50">
        <v>7.24</v>
      </c>
    </row>
    <row r="18" spans="1:3" ht="12">
      <c r="A18" s="5" t="s">
        <v>7</v>
      </c>
      <c r="B18" s="50">
        <v>150</v>
      </c>
      <c r="C18" s="50">
        <v>160</v>
      </c>
    </row>
    <row r="19" spans="1:3" ht="12">
      <c r="A19" s="5" t="s">
        <v>8</v>
      </c>
      <c r="B19" s="50">
        <v>150</v>
      </c>
      <c r="C19" s="50">
        <v>160</v>
      </c>
    </row>
    <row r="20" spans="1:3" ht="12">
      <c r="A20" s="5"/>
      <c r="B20" s="33"/>
      <c r="C20" s="33"/>
    </row>
    <row r="21" spans="1:3" ht="12">
      <c r="A21" s="6" t="s">
        <v>9</v>
      </c>
      <c r="B21" s="33"/>
      <c r="C21" s="33"/>
    </row>
    <row r="22" spans="1:3" ht="12">
      <c r="A22" s="5"/>
      <c r="B22" s="33"/>
      <c r="C22" s="33"/>
    </row>
    <row r="23" spans="1:3" ht="12">
      <c r="A23" s="5" t="s">
        <v>6</v>
      </c>
      <c r="B23" s="50">
        <v>7.13</v>
      </c>
      <c r="C23" s="50">
        <v>7.11</v>
      </c>
    </row>
    <row r="24" spans="1:3" ht="12">
      <c r="A24" s="5" t="s">
        <v>37</v>
      </c>
      <c r="B24" s="50">
        <v>7.52</v>
      </c>
      <c r="C24" s="50">
        <v>7.51</v>
      </c>
    </row>
    <row r="25" spans="1:3" ht="12">
      <c r="A25" s="5" t="s">
        <v>7</v>
      </c>
      <c r="B25" s="50">
        <v>350</v>
      </c>
      <c r="C25" s="50">
        <v>150</v>
      </c>
    </row>
    <row r="26" spans="1:3" ht="12">
      <c r="A26" s="5" t="s">
        <v>8</v>
      </c>
      <c r="B26" s="50">
        <v>350</v>
      </c>
      <c r="C26" s="50">
        <v>150</v>
      </c>
    </row>
    <row r="27" spans="1:3" ht="12">
      <c r="A27" s="5"/>
      <c r="B27" s="33"/>
      <c r="C27" s="33"/>
    </row>
    <row r="28" spans="1:3" ht="12">
      <c r="A28" s="6" t="s">
        <v>160</v>
      </c>
      <c r="B28" s="33"/>
      <c r="C28" s="33"/>
    </row>
    <row r="29" spans="1:3" ht="12">
      <c r="A29" s="5"/>
      <c r="B29" s="48"/>
      <c r="C29" s="48"/>
    </row>
    <row r="30" spans="1:3" ht="12">
      <c r="A30" s="5" t="s">
        <v>6</v>
      </c>
      <c r="B30" s="50">
        <v>7.22</v>
      </c>
      <c r="C30" s="50">
        <v>7.22</v>
      </c>
    </row>
    <row r="31" spans="1:3" ht="12">
      <c r="A31" s="5" t="s">
        <v>37</v>
      </c>
      <c r="B31" s="50">
        <v>7.89</v>
      </c>
      <c r="C31" s="50">
        <v>7.78</v>
      </c>
    </row>
    <row r="32" spans="1:3" ht="12">
      <c r="A32" s="5" t="s">
        <v>7</v>
      </c>
      <c r="B32" s="50">
        <v>100</v>
      </c>
      <c r="C32" s="50">
        <v>100</v>
      </c>
    </row>
    <row r="33" spans="1:3" ht="12">
      <c r="A33" s="5" t="s">
        <v>8</v>
      </c>
      <c r="B33" s="50">
        <v>100</v>
      </c>
      <c r="C33" s="50">
        <v>100</v>
      </c>
    </row>
    <row r="34" spans="1:3" ht="12">
      <c r="A34" s="5"/>
      <c r="B34" s="33"/>
      <c r="C34" s="33"/>
    </row>
    <row r="35" spans="1:3" ht="12">
      <c r="A35" s="5"/>
      <c r="B35" s="33"/>
      <c r="C35" s="33"/>
    </row>
    <row r="36" spans="1:3" ht="12">
      <c r="A36" s="5"/>
      <c r="B36" s="33"/>
      <c r="C36" s="33"/>
    </row>
    <row r="37" spans="1:3" ht="12">
      <c r="A37" s="6" t="s">
        <v>40</v>
      </c>
      <c r="B37" s="131">
        <v>3510.36</v>
      </c>
      <c r="C37" s="131">
        <v>3507</v>
      </c>
    </row>
    <row r="38" spans="1:3" ht="12">
      <c r="A38" s="5"/>
      <c r="B38" s="33"/>
      <c r="C38" s="33"/>
    </row>
    <row r="39" spans="1:3" ht="12">
      <c r="A39" s="5"/>
      <c r="B39" s="30"/>
      <c r="C39" s="30"/>
    </row>
    <row r="40" spans="1:3" ht="12.75" thickBot="1">
      <c r="A40" s="5"/>
      <c r="B40" s="66"/>
      <c r="C40" s="66"/>
    </row>
    <row r="41" spans="1:3" ht="12.75" thickBot="1">
      <c r="A41" s="3" t="s">
        <v>10</v>
      </c>
      <c r="B41" s="47">
        <f>B2</f>
        <v>40210</v>
      </c>
      <c r="C41" s="47">
        <f>C2</f>
        <v>40238</v>
      </c>
    </row>
    <row r="42" spans="1:3" ht="12">
      <c r="A42" s="5"/>
      <c r="B42" s="67"/>
      <c r="C42" s="67"/>
    </row>
    <row r="43" spans="1:3" ht="12">
      <c r="A43" s="6" t="s">
        <v>11</v>
      </c>
      <c r="B43" s="30"/>
      <c r="C43" s="30"/>
    </row>
    <row r="44" spans="1:3" ht="12">
      <c r="A44" s="7" t="s">
        <v>80</v>
      </c>
      <c r="B44" s="30"/>
      <c r="C44" s="30"/>
    </row>
    <row r="45" spans="1:3" ht="12">
      <c r="A45" s="5" t="s">
        <v>12</v>
      </c>
      <c r="B45" s="194">
        <v>8.82</v>
      </c>
      <c r="C45" s="194">
        <v>8.82</v>
      </c>
    </row>
    <row r="46" spans="1:3" ht="12">
      <c r="A46" s="5" t="s">
        <v>7</v>
      </c>
      <c r="B46" s="194">
        <v>8</v>
      </c>
      <c r="C46" s="194">
        <v>8</v>
      </c>
    </row>
    <row r="47" spans="1:3" ht="12">
      <c r="A47" s="5" t="s">
        <v>8</v>
      </c>
      <c r="B47" s="194">
        <v>0</v>
      </c>
      <c r="C47" s="194">
        <v>0</v>
      </c>
    </row>
    <row r="48" spans="1:3" ht="12">
      <c r="A48" s="5"/>
      <c r="B48" s="195"/>
      <c r="C48" s="195"/>
    </row>
    <row r="49" spans="1:3" ht="12">
      <c r="A49" s="5" t="s">
        <v>13</v>
      </c>
      <c r="B49" s="270">
        <v>5368.99</v>
      </c>
      <c r="C49" s="270">
        <v>5368.99</v>
      </c>
    </row>
    <row r="50" spans="1:4" ht="12.75" thickBot="1">
      <c r="A50" s="5"/>
      <c r="B50" s="66"/>
      <c r="C50" s="66"/>
      <c r="D50" s="9"/>
    </row>
    <row r="51" spans="1:3" ht="12.75" thickBot="1">
      <c r="A51" s="3" t="s">
        <v>14</v>
      </c>
      <c r="B51" s="47">
        <f>B41</f>
        <v>40210</v>
      </c>
      <c r="C51" s="47">
        <f>C41</f>
        <v>40238</v>
      </c>
    </row>
    <row r="52" spans="1:3" ht="12">
      <c r="A52" s="5"/>
      <c r="B52" s="67"/>
      <c r="C52" s="67"/>
    </row>
    <row r="53" spans="1:3" ht="12">
      <c r="A53" s="6" t="s">
        <v>15</v>
      </c>
      <c r="B53" s="30"/>
      <c r="C53" s="30"/>
    </row>
    <row r="54" spans="1:3" ht="12">
      <c r="A54" s="5"/>
      <c r="B54" s="30"/>
      <c r="C54" s="30"/>
    </row>
    <row r="55" spans="1:4" ht="12">
      <c r="A55" s="5" t="s">
        <v>16</v>
      </c>
      <c r="B55" s="131">
        <v>14.67</v>
      </c>
      <c r="C55" s="131">
        <v>27.27</v>
      </c>
      <c r="D55" s="8"/>
    </row>
    <row r="56" spans="1:9" ht="12">
      <c r="A56" s="5" t="s">
        <v>17</v>
      </c>
      <c r="B56" s="132">
        <v>494.05</v>
      </c>
      <c r="C56" s="132">
        <v>1005.07</v>
      </c>
      <c r="D56" s="8"/>
      <c r="G56" s="9"/>
      <c r="I56" s="9"/>
    </row>
    <row r="57" spans="1:4" ht="12">
      <c r="A57" s="5" t="s">
        <v>18</v>
      </c>
      <c r="B57" s="132">
        <v>736.29</v>
      </c>
      <c r="C57" s="132">
        <v>811.78</v>
      </c>
      <c r="D57" s="10"/>
    </row>
    <row r="58" spans="1:4" ht="12">
      <c r="A58" s="5" t="s">
        <v>19</v>
      </c>
      <c r="B58" s="132">
        <v>974.13</v>
      </c>
      <c r="C58" s="132">
        <v>1075.25</v>
      </c>
      <c r="D58" s="10"/>
    </row>
    <row r="59" spans="1:3" ht="12">
      <c r="A59" s="5" t="s">
        <v>20</v>
      </c>
      <c r="B59" s="131">
        <v>396.85</v>
      </c>
      <c r="C59" s="131">
        <v>455.65</v>
      </c>
    </row>
    <row r="60" spans="1:9" ht="12">
      <c r="A60" s="5" t="s">
        <v>21</v>
      </c>
      <c r="B60" s="132">
        <v>498.22</v>
      </c>
      <c r="C60" s="132">
        <v>538.61</v>
      </c>
      <c r="G60" s="9"/>
      <c r="I60" s="9"/>
    </row>
    <row r="61" spans="1:9" ht="12">
      <c r="A61" s="5" t="s">
        <v>22</v>
      </c>
      <c r="B61" s="132">
        <v>12.01</v>
      </c>
      <c r="C61" s="132">
        <v>14.05</v>
      </c>
      <c r="G61" s="9"/>
      <c r="I61" s="9"/>
    </row>
    <row r="62" spans="1:3" ht="12">
      <c r="A62" s="5" t="s">
        <v>23</v>
      </c>
      <c r="B62" s="132">
        <v>63.24</v>
      </c>
      <c r="C62" s="132">
        <v>63.38</v>
      </c>
    </row>
    <row r="63" spans="1:3" ht="12">
      <c r="A63" s="5" t="s">
        <v>24</v>
      </c>
      <c r="B63" s="131">
        <v>3.81</v>
      </c>
      <c r="C63" s="131">
        <v>3.57</v>
      </c>
    </row>
    <row r="64" spans="1:3" ht="12">
      <c r="A64" s="5"/>
      <c r="B64" s="132"/>
      <c r="C64" s="132"/>
    </row>
    <row r="65" spans="1:3" ht="12">
      <c r="A65" s="6" t="s">
        <v>25</v>
      </c>
      <c r="B65" s="132"/>
      <c r="C65" s="132"/>
    </row>
    <row r="66" spans="1:4" ht="12">
      <c r="A66" s="5"/>
      <c r="B66" s="132"/>
      <c r="C66" s="132"/>
      <c r="D66" s="8"/>
    </row>
    <row r="67" spans="1:4" ht="12">
      <c r="A67" s="5" t="s">
        <v>16</v>
      </c>
      <c r="B67" s="132">
        <v>0.15</v>
      </c>
      <c r="C67" s="132">
        <v>2.99</v>
      </c>
      <c r="D67" s="8"/>
    </row>
    <row r="68" spans="1:4" ht="12">
      <c r="A68" s="5" t="s">
        <v>17</v>
      </c>
      <c r="B68" s="132">
        <v>1.55</v>
      </c>
      <c r="C68" s="132">
        <v>28.7</v>
      </c>
      <c r="D68" s="9"/>
    </row>
    <row r="69" spans="1:4" ht="12">
      <c r="A69" s="5" t="s">
        <v>18</v>
      </c>
      <c r="B69" s="196">
        <v>156.18</v>
      </c>
      <c r="C69" s="196">
        <v>156.9</v>
      </c>
      <c r="D69" s="9"/>
    </row>
    <row r="70" spans="1:4" ht="12">
      <c r="A70" s="5" t="s">
        <v>19</v>
      </c>
      <c r="B70" s="50">
        <v>7.15</v>
      </c>
      <c r="C70" s="50">
        <v>7.17</v>
      </c>
      <c r="D70" s="9"/>
    </row>
    <row r="71" spans="1:4" ht="12">
      <c r="A71" s="5" t="s">
        <v>20</v>
      </c>
      <c r="B71" s="50">
        <v>0</v>
      </c>
      <c r="C71" s="50">
        <v>0</v>
      </c>
      <c r="D71" s="9"/>
    </row>
    <row r="72" spans="1:4" ht="12">
      <c r="A72" s="5" t="s">
        <v>21</v>
      </c>
      <c r="B72" s="50">
        <v>4.34</v>
      </c>
      <c r="C72" s="50">
        <v>4.35</v>
      </c>
      <c r="D72" s="9"/>
    </row>
    <row r="73" spans="1:4" ht="12">
      <c r="A73" s="5" t="s">
        <v>22</v>
      </c>
      <c r="B73" s="50">
        <v>2.8</v>
      </c>
      <c r="C73" s="50">
        <v>2.83</v>
      </c>
      <c r="D73" s="197"/>
    </row>
    <row r="74" spans="1:3" ht="12">
      <c r="A74" s="5" t="s">
        <v>23</v>
      </c>
      <c r="B74" s="50">
        <v>0</v>
      </c>
      <c r="C74" s="50">
        <v>0</v>
      </c>
    </row>
    <row r="75" spans="1:3" ht="12">
      <c r="A75" s="5" t="s">
        <v>24</v>
      </c>
      <c r="B75" s="50">
        <v>0</v>
      </c>
      <c r="C75" s="50">
        <v>0</v>
      </c>
    </row>
    <row r="76" spans="1:3" ht="12">
      <c r="A76" s="5"/>
      <c r="B76" s="33"/>
      <c r="C76" s="33"/>
    </row>
    <row r="77" spans="1:3" ht="12">
      <c r="A77" s="6" t="s">
        <v>130</v>
      </c>
      <c r="B77" s="33"/>
      <c r="C77" s="33"/>
    </row>
    <row r="78" spans="1:3" ht="12">
      <c r="A78" s="5" t="s">
        <v>131</v>
      </c>
      <c r="B78" s="289">
        <v>6</v>
      </c>
      <c r="C78" s="289">
        <v>0.55</v>
      </c>
    </row>
    <row r="79" spans="1:3" ht="12">
      <c r="A79" s="5" t="s">
        <v>19</v>
      </c>
      <c r="B79" s="289">
        <v>21.99</v>
      </c>
      <c r="C79" s="289">
        <v>21.98</v>
      </c>
    </row>
    <row r="80" spans="1:3" ht="12.75" thickBot="1">
      <c r="A80" s="5"/>
      <c r="B80" s="33"/>
      <c r="C80" s="33"/>
    </row>
    <row r="81" spans="1:3" ht="12.75" thickBot="1">
      <c r="A81" s="3" t="s">
        <v>79</v>
      </c>
      <c r="B81" s="47">
        <f>B51</f>
        <v>40210</v>
      </c>
      <c r="C81" s="47">
        <f>C51</f>
        <v>40238</v>
      </c>
    </row>
    <row r="82" spans="1:3" ht="12">
      <c r="A82" s="5"/>
      <c r="B82" s="67"/>
      <c r="C82" s="67"/>
    </row>
    <row r="83" spans="1:3" ht="12">
      <c r="A83" s="5" t="s">
        <v>26</v>
      </c>
      <c r="B83" s="65">
        <v>6.3</v>
      </c>
      <c r="C83" s="65">
        <v>5.6</v>
      </c>
    </row>
    <row r="84" spans="1:3" ht="12">
      <c r="A84" s="5" t="s">
        <v>27</v>
      </c>
      <c r="B84" s="65">
        <v>1.9</v>
      </c>
      <c r="C84" s="291">
        <v>2</v>
      </c>
    </row>
    <row r="85" spans="1:3" ht="12.75" thickBot="1">
      <c r="A85" s="11" t="s">
        <v>28</v>
      </c>
      <c r="B85" s="52">
        <v>0.4</v>
      </c>
      <c r="C85" s="292">
        <v>0.1</v>
      </c>
    </row>
    <row r="86" ht="12">
      <c r="A86" s="2" t="s">
        <v>106</v>
      </c>
    </row>
    <row r="87" ht="12">
      <c r="A87" s="2" t="s">
        <v>111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P77"/>
  <sheetViews>
    <sheetView showGridLines="0" zoomScaleSheetLayoutView="75" workbookViewId="0" topLeftCell="A40">
      <selection activeCell="B49" sqref="B49"/>
    </sheetView>
  </sheetViews>
  <sheetFormatPr defaultColWidth="9.140625" defaultRowHeight="12"/>
  <cols>
    <col min="1" max="1" width="3.421875" style="0" customWidth="1"/>
  </cols>
  <sheetData>
    <row r="2" spans="4:14" ht="15.75">
      <c r="D2" s="311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2:12" ht="20.25"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1:16" ht="15.75">
      <c r="A4" s="14"/>
      <c r="B4" s="313" t="s">
        <v>165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14"/>
      <c r="N4" s="14"/>
      <c r="O4" s="14"/>
      <c r="P4" s="14"/>
    </row>
    <row r="5" spans="1:16" ht="18">
      <c r="A5" s="14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14"/>
      <c r="N5" s="14"/>
      <c r="O5" s="14"/>
      <c r="P5" s="14"/>
    </row>
    <row r="6" spans="1:16" ht="15">
      <c r="A6" s="14"/>
      <c r="M6" s="14"/>
      <c r="N6" s="14"/>
      <c r="O6" s="14"/>
      <c r="P6" s="14"/>
    </row>
    <row r="7" spans="1:16" ht="15.75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14"/>
      <c r="L7" s="14"/>
      <c r="M7" s="14"/>
      <c r="N7" s="14"/>
      <c r="O7" s="14"/>
      <c r="P7" s="14"/>
    </row>
    <row r="8" spans="1:16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57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.75">
      <c r="A25" s="14"/>
      <c r="B25" s="313" t="s">
        <v>158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14"/>
      <c r="N25" s="14"/>
      <c r="O25" s="14"/>
      <c r="P25" s="14"/>
    </row>
    <row r="26" spans="1:16" ht="15.75">
      <c r="A26" s="14"/>
      <c r="B26" s="87"/>
      <c r="C26" s="63"/>
      <c r="D26" s="5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>
      <c r="A27" s="14"/>
      <c r="C27" s="6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M28" s="14"/>
      <c r="N28" s="14"/>
      <c r="O28" s="14"/>
      <c r="P28" s="14"/>
    </row>
    <row r="29" spans="1:16" ht="15">
      <c r="A29" s="14"/>
      <c r="M29" s="14"/>
      <c r="N29" s="14"/>
      <c r="O29" s="14"/>
      <c r="P29" s="14"/>
    </row>
    <row r="30" spans="13:16" ht="15">
      <c r="M30" s="14"/>
      <c r="N30" s="14"/>
      <c r="O30" s="14"/>
      <c r="P30" s="14"/>
    </row>
    <row r="31" spans="1:16" ht="15">
      <c r="A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N41" s="14"/>
      <c r="O41" s="14"/>
      <c r="P41" s="14"/>
    </row>
    <row r="42" ht="12.75">
      <c r="B42" s="269" t="s">
        <v>103</v>
      </c>
    </row>
    <row r="47" spans="2:12" ht="15.75">
      <c r="B47" s="310" t="s">
        <v>154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</row>
    <row r="62" spans="2:12" ht="20.25">
      <c r="B62" s="205"/>
      <c r="C62" s="206"/>
      <c r="D62" s="206"/>
      <c r="E62" s="206"/>
      <c r="F62" s="206"/>
      <c r="G62" s="206"/>
      <c r="H62" s="206"/>
      <c r="I62" s="206"/>
      <c r="J62" s="206"/>
      <c r="K62" s="206"/>
      <c r="L62" s="206"/>
    </row>
    <row r="63" spans="2:12" ht="20.25">
      <c r="B63" s="205"/>
      <c r="C63" s="206"/>
      <c r="D63" s="206"/>
      <c r="E63" s="206"/>
      <c r="F63" s="206"/>
      <c r="G63" s="206"/>
      <c r="H63" s="206"/>
      <c r="I63" s="206"/>
      <c r="J63" s="206"/>
      <c r="K63" s="206"/>
      <c r="L63" s="206"/>
    </row>
    <row r="64" spans="2:12" ht="20.25">
      <c r="B64" s="205"/>
      <c r="C64" s="206"/>
      <c r="D64" s="206"/>
      <c r="E64" s="206"/>
      <c r="F64" s="206"/>
      <c r="G64" s="206"/>
      <c r="H64" s="206"/>
      <c r="I64" s="206"/>
      <c r="J64" s="206"/>
      <c r="K64" s="206"/>
      <c r="L64" s="206"/>
    </row>
    <row r="68" ht="12.75">
      <c r="B68" s="269" t="s">
        <v>104</v>
      </c>
    </row>
    <row r="77" ht="11.25">
      <c r="B77" s="199"/>
    </row>
  </sheetData>
  <sheetProtection/>
  <mergeCells count="6">
    <mergeCell ref="A7:J7"/>
    <mergeCell ref="B47:L47"/>
    <mergeCell ref="D2:N2"/>
    <mergeCell ref="B4:L4"/>
    <mergeCell ref="B3:L3"/>
    <mergeCell ref="B25:L25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CJ22"/>
  <sheetViews>
    <sheetView showGridLines="0" zoomScale="90" zoomScaleNormal="90" zoomScaleSheetLayoutView="75" zoomScalePageLayoutView="0" workbookViewId="0" topLeftCell="A1">
      <pane xSplit="59" ySplit="4" topLeftCell="CC5" activePane="bottomRight" state="frozen"/>
      <selection pane="topLeft" activeCell="A1" sqref="A1"/>
      <selection pane="topRight" activeCell="BH1" sqref="BH1"/>
      <selection pane="bottomLeft" activeCell="A5" sqref="A5"/>
      <selection pane="bottomRight" activeCell="B1" sqref="B1:CJ16384"/>
    </sheetView>
  </sheetViews>
  <sheetFormatPr defaultColWidth="12.7109375" defaultRowHeight="19.5" customHeight="1"/>
  <cols>
    <col min="1" max="1" width="12.7109375" style="31" customWidth="1"/>
    <col min="2" max="2" width="44.28125" style="31" customWidth="1"/>
    <col min="3" max="73" width="12.7109375" style="31" hidden="1" customWidth="1"/>
    <col min="74" max="75" width="0" style="31" hidden="1" customWidth="1"/>
    <col min="76" max="16384" width="12.7109375" style="31" customWidth="1"/>
  </cols>
  <sheetData>
    <row r="2" spans="1:48" ht="19.5" customHeight="1">
      <c r="A2" s="97"/>
      <c r="B2" s="98" t="s">
        <v>120</v>
      </c>
      <c r="C2" s="99"/>
      <c r="D2" s="99"/>
      <c r="E2" s="99"/>
      <c r="F2" s="100"/>
      <c r="G2" s="101"/>
      <c r="H2" s="100"/>
      <c r="I2" s="101"/>
      <c r="J2" s="101"/>
      <c r="K2" s="100"/>
      <c r="L2" s="100"/>
      <c r="M2" s="101"/>
      <c r="N2" s="101"/>
      <c r="O2" s="102"/>
      <c r="P2" s="101"/>
      <c r="Q2" s="100"/>
      <c r="R2" s="101"/>
      <c r="S2" s="101"/>
      <c r="T2" s="103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</row>
    <row r="3" spans="1:62" ht="19.5" customHeight="1" thickBot="1">
      <c r="A3" s="97"/>
      <c r="B3" s="88"/>
      <c r="C3" s="88"/>
      <c r="D3" s="88"/>
      <c r="E3" s="88"/>
      <c r="F3" s="89"/>
      <c r="G3" s="89"/>
      <c r="H3" s="89"/>
      <c r="I3" s="90"/>
      <c r="J3" s="90"/>
      <c r="K3" s="89"/>
      <c r="L3" s="89"/>
      <c r="M3" s="90"/>
      <c r="N3" s="90"/>
      <c r="O3" s="91"/>
      <c r="P3" s="90"/>
      <c r="Q3" s="89"/>
      <c r="R3" s="90"/>
      <c r="S3" s="90"/>
      <c r="T3" s="92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</row>
    <row r="4" spans="1:88" ht="19.5" customHeight="1" thickBot="1">
      <c r="A4" s="97"/>
      <c r="B4" s="207"/>
      <c r="C4" s="208">
        <v>37655</v>
      </c>
      <c r="D4" s="208">
        <v>37681</v>
      </c>
      <c r="E4" s="208">
        <v>37712</v>
      </c>
      <c r="F4" s="208">
        <v>37742</v>
      </c>
      <c r="G4" s="208">
        <v>37773</v>
      </c>
      <c r="H4" s="208">
        <v>37803</v>
      </c>
      <c r="I4" s="208">
        <v>37834</v>
      </c>
      <c r="J4" s="208">
        <v>37865</v>
      </c>
      <c r="K4" s="208">
        <v>37895</v>
      </c>
      <c r="L4" s="208">
        <v>37926</v>
      </c>
      <c r="M4" s="208">
        <v>37956</v>
      </c>
      <c r="N4" s="208">
        <v>37987</v>
      </c>
      <c r="O4" s="209">
        <v>38018</v>
      </c>
      <c r="P4" s="208">
        <v>38047</v>
      </c>
      <c r="Q4" s="208">
        <v>38078</v>
      </c>
      <c r="R4" s="208">
        <v>38108</v>
      </c>
      <c r="S4" s="208">
        <v>38139</v>
      </c>
      <c r="T4" s="208">
        <v>38169</v>
      </c>
      <c r="U4" s="208">
        <v>38200</v>
      </c>
      <c r="V4" s="208">
        <v>38231</v>
      </c>
      <c r="W4" s="208">
        <v>38261</v>
      </c>
      <c r="X4" s="208">
        <v>38292</v>
      </c>
      <c r="Y4" s="208">
        <v>38322</v>
      </c>
      <c r="Z4" s="208">
        <v>38353</v>
      </c>
      <c r="AA4" s="208">
        <v>38384</v>
      </c>
      <c r="AB4" s="208">
        <v>38412</v>
      </c>
      <c r="AC4" s="208">
        <v>38443</v>
      </c>
      <c r="AD4" s="208">
        <v>38473</v>
      </c>
      <c r="AE4" s="208">
        <v>38504</v>
      </c>
      <c r="AF4" s="208">
        <v>38534</v>
      </c>
      <c r="AG4" s="208">
        <v>38565</v>
      </c>
      <c r="AH4" s="208">
        <v>38596</v>
      </c>
      <c r="AI4" s="208">
        <v>38626</v>
      </c>
      <c r="AJ4" s="208">
        <v>38657</v>
      </c>
      <c r="AK4" s="208">
        <v>38687</v>
      </c>
      <c r="AL4" s="208">
        <v>38718</v>
      </c>
      <c r="AM4" s="208">
        <v>38749</v>
      </c>
      <c r="AN4" s="208">
        <v>38777</v>
      </c>
      <c r="AO4" s="208">
        <v>38808</v>
      </c>
      <c r="AP4" s="208">
        <v>38838</v>
      </c>
      <c r="AQ4" s="208">
        <v>38869</v>
      </c>
      <c r="AR4" s="208">
        <v>38929</v>
      </c>
      <c r="AS4" s="208">
        <v>38960</v>
      </c>
      <c r="AT4" s="208">
        <v>38990</v>
      </c>
      <c r="AU4" s="208">
        <v>39021</v>
      </c>
      <c r="AV4" s="208">
        <v>39051</v>
      </c>
      <c r="AW4" s="208">
        <v>39082</v>
      </c>
      <c r="AX4" s="210">
        <v>39113</v>
      </c>
      <c r="AY4" s="210">
        <v>39141</v>
      </c>
      <c r="AZ4" s="210">
        <v>39172</v>
      </c>
      <c r="BA4" s="210">
        <v>39202</v>
      </c>
      <c r="BB4" s="210">
        <v>39233</v>
      </c>
      <c r="BC4" s="210">
        <v>39263</v>
      </c>
      <c r="BD4" s="210">
        <v>39294</v>
      </c>
      <c r="BE4" s="210">
        <v>39325</v>
      </c>
      <c r="BF4" s="210">
        <v>39355</v>
      </c>
      <c r="BG4" s="210">
        <v>39386</v>
      </c>
      <c r="BH4" s="210">
        <v>39416</v>
      </c>
      <c r="BI4" s="210">
        <v>39447</v>
      </c>
      <c r="BJ4" s="210">
        <v>39478</v>
      </c>
      <c r="BK4" s="210">
        <v>39507</v>
      </c>
      <c r="BL4" s="210">
        <v>39538</v>
      </c>
      <c r="BM4" s="210">
        <v>39568</v>
      </c>
      <c r="BN4" s="210">
        <v>39599</v>
      </c>
      <c r="BO4" s="210">
        <v>39629</v>
      </c>
      <c r="BP4" s="210">
        <v>39660</v>
      </c>
      <c r="BQ4" s="210">
        <v>39691</v>
      </c>
      <c r="BR4" s="210">
        <v>39721</v>
      </c>
      <c r="BS4" s="210">
        <v>39752</v>
      </c>
      <c r="BT4" s="210">
        <v>39782</v>
      </c>
      <c r="BU4" s="210">
        <v>39813</v>
      </c>
      <c r="BV4" s="210">
        <v>39844</v>
      </c>
      <c r="BW4" s="210">
        <v>39872</v>
      </c>
      <c r="BX4" s="210">
        <v>39903</v>
      </c>
      <c r="BY4" s="210">
        <v>39933</v>
      </c>
      <c r="BZ4" s="210">
        <v>39964</v>
      </c>
      <c r="CA4" s="210">
        <v>39994</v>
      </c>
      <c r="CB4" s="210">
        <v>40025</v>
      </c>
      <c r="CC4" s="210">
        <v>40056</v>
      </c>
      <c r="CD4" s="210">
        <v>40086</v>
      </c>
      <c r="CE4" s="210">
        <v>40117</v>
      </c>
      <c r="CF4" s="210">
        <v>40147</v>
      </c>
      <c r="CG4" s="210">
        <v>40177</v>
      </c>
      <c r="CH4" s="210">
        <v>40208</v>
      </c>
      <c r="CI4" s="210">
        <v>40237</v>
      </c>
      <c r="CJ4" s="210">
        <v>40268</v>
      </c>
    </row>
    <row r="5" spans="1:88" ht="19.5" customHeight="1">
      <c r="A5" s="124"/>
      <c r="B5" s="211" t="s">
        <v>81</v>
      </c>
      <c r="C5" s="212"/>
      <c r="D5" s="212"/>
      <c r="E5" s="213"/>
      <c r="F5" s="214"/>
      <c r="G5" s="214"/>
      <c r="H5" s="214"/>
      <c r="I5" s="214"/>
      <c r="J5" s="214"/>
      <c r="K5" s="214"/>
      <c r="L5" s="214"/>
      <c r="M5" s="215"/>
      <c r="N5" s="214"/>
      <c r="O5" s="216"/>
      <c r="P5" s="217"/>
      <c r="Q5" s="214"/>
      <c r="R5" s="217"/>
      <c r="S5" s="217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</row>
    <row r="6" spans="1:88" ht="19.5" customHeight="1">
      <c r="A6" s="97"/>
      <c r="B6" s="211"/>
      <c r="C6" s="212"/>
      <c r="D6" s="212"/>
      <c r="E6" s="213"/>
      <c r="F6" s="214"/>
      <c r="G6" s="214"/>
      <c r="H6" s="214"/>
      <c r="I6" s="214"/>
      <c r="J6" s="214"/>
      <c r="K6" s="214"/>
      <c r="L6" s="214"/>
      <c r="M6" s="215"/>
      <c r="N6" s="214"/>
      <c r="O6" s="216"/>
      <c r="P6" s="217"/>
      <c r="Q6" s="214"/>
      <c r="R6" s="217"/>
      <c r="S6" s="217"/>
      <c r="T6" s="218"/>
      <c r="U6" s="217"/>
      <c r="V6" s="217"/>
      <c r="W6" s="217"/>
      <c r="X6" s="217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</row>
    <row r="7" spans="2:88" ht="19.5" customHeight="1">
      <c r="B7" s="211" t="s">
        <v>108</v>
      </c>
      <c r="C7" s="219">
        <v>2595.44027685</v>
      </c>
      <c r="D7" s="219">
        <v>2187.8368766900003</v>
      </c>
      <c r="E7" s="219">
        <v>2272.4872471500003</v>
      </c>
      <c r="F7" s="220">
        <v>2113.36340838</v>
      </c>
      <c r="G7" s="220">
        <v>2165.8</v>
      </c>
      <c r="H7" s="221">
        <v>2129.6</v>
      </c>
      <c r="I7" s="214">
        <v>1891</v>
      </c>
      <c r="J7" s="220">
        <v>2181.2</v>
      </c>
      <c r="K7" s="220">
        <v>2467.9</v>
      </c>
      <c r="L7" s="220">
        <v>2091</v>
      </c>
      <c r="M7" s="222">
        <v>2110.3</v>
      </c>
      <c r="N7" s="220">
        <v>2710.8702829799995</v>
      </c>
      <c r="O7" s="223">
        <v>1935.4129830699999</v>
      </c>
      <c r="P7" s="224">
        <v>1824.1042653499997</v>
      </c>
      <c r="Q7" s="214">
        <v>2395.6</v>
      </c>
      <c r="R7" s="214">
        <v>1860.4</v>
      </c>
      <c r="S7" s="214">
        <v>1783.2</v>
      </c>
      <c r="T7" s="214">
        <v>1984.6</v>
      </c>
      <c r="U7" s="214">
        <v>1989.9</v>
      </c>
      <c r="V7" s="214">
        <v>1808.2</v>
      </c>
      <c r="W7" s="214">
        <v>2207.6</v>
      </c>
      <c r="X7" s="214">
        <v>1987.9</v>
      </c>
      <c r="Y7" s="214">
        <v>1977.3</v>
      </c>
      <c r="Z7" s="214">
        <v>2327.5</v>
      </c>
      <c r="AA7" s="214">
        <v>2029.5</v>
      </c>
      <c r="AB7" s="214">
        <v>1912.6</v>
      </c>
      <c r="AC7" s="214">
        <v>2303.8</v>
      </c>
      <c r="AD7" s="214">
        <v>2107.1</v>
      </c>
      <c r="AE7" s="214">
        <v>1874.1</v>
      </c>
      <c r="AF7" s="214">
        <v>2354.7</v>
      </c>
      <c r="AG7" s="214">
        <v>2159.1</v>
      </c>
      <c r="AH7" s="214">
        <v>1818.2</v>
      </c>
      <c r="AI7" s="220">
        <v>2245</v>
      </c>
      <c r="AJ7" s="220">
        <v>1902.22246</v>
      </c>
      <c r="AK7" s="220">
        <v>1983.9</v>
      </c>
      <c r="AL7" s="220">
        <v>2705.5</v>
      </c>
      <c r="AM7" s="220">
        <v>2696</v>
      </c>
      <c r="AN7" s="220">
        <v>2458.1</v>
      </c>
      <c r="AO7" s="220">
        <v>3129.7</v>
      </c>
      <c r="AP7" s="220">
        <v>2973</v>
      </c>
      <c r="AQ7" s="220">
        <v>2677.9</v>
      </c>
      <c r="AR7" s="220">
        <v>3313.1</v>
      </c>
      <c r="AS7" s="220">
        <v>2760.7</v>
      </c>
      <c r="AT7" s="220">
        <v>3119.2</v>
      </c>
      <c r="AU7" s="220">
        <v>4104.4</v>
      </c>
      <c r="AV7" s="220">
        <v>3495.2</v>
      </c>
      <c r="AW7" s="220">
        <v>3164.3</v>
      </c>
      <c r="AX7" s="220">
        <v>4865.6</v>
      </c>
      <c r="AY7" s="220">
        <v>4466.4</v>
      </c>
      <c r="AZ7" s="220">
        <v>5690</v>
      </c>
      <c r="BA7" s="220">
        <v>6260.1</v>
      </c>
      <c r="BB7" s="225">
        <v>5643.8</v>
      </c>
      <c r="BC7" s="226">
        <v>6085.3</v>
      </c>
      <c r="BD7" s="226">
        <v>7455.9</v>
      </c>
      <c r="BE7" s="226">
        <v>6359</v>
      </c>
      <c r="BF7" s="226">
        <v>5868.650081049999</v>
      </c>
      <c r="BG7" s="226">
        <v>6499.853570999999</v>
      </c>
      <c r="BH7" s="226">
        <v>6257.02633294</v>
      </c>
      <c r="BI7" s="226">
        <v>6743.949222620002</v>
      </c>
      <c r="BJ7" s="226">
        <v>8497.90853458</v>
      </c>
      <c r="BK7" s="226">
        <v>8656.654479950002</v>
      </c>
      <c r="BL7" s="226">
        <v>8900.78</v>
      </c>
      <c r="BM7" s="226">
        <v>9949.63092274</v>
      </c>
      <c r="BN7" s="226">
        <v>9441.90025126</v>
      </c>
      <c r="BO7" s="226">
        <v>9697.814715469998</v>
      </c>
      <c r="BP7" s="226">
        <v>11758.2039831</v>
      </c>
      <c r="BQ7" s="226">
        <v>10730.849802119998</v>
      </c>
      <c r="BR7" s="226">
        <v>10942.098551590001</v>
      </c>
      <c r="BS7" s="226">
        <v>13805.317071959998</v>
      </c>
      <c r="BT7" s="226">
        <v>12725.77199603</v>
      </c>
      <c r="BU7" s="227">
        <v>12857.52677013</v>
      </c>
      <c r="BV7" s="227">
        <v>14524</v>
      </c>
      <c r="BW7" s="227">
        <v>13779</v>
      </c>
      <c r="BX7" s="227">
        <v>14136.3</v>
      </c>
      <c r="BY7" s="227">
        <v>14561.206</v>
      </c>
      <c r="BZ7" s="227">
        <v>14205.63</v>
      </c>
      <c r="CA7" s="227">
        <v>13206.787</v>
      </c>
      <c r="CB7" s="227">
        <v>13706.835257</v>
      </c>
      <c r="CC7" s="227">
        <v>13840</v>
      </c>
      <c r="CD7" s="227">
        <v>14719.96</v>
      </c>
      <c r="CE7" s="227">
        <v>15827.33</v>
      </c>
      <c r="CF7" s="227">
        <v>14317.35</v>
      </c>
      <c r="CG7" s="227">
        <v>13828.2</v>
      </c>
      <c r="CH7" s="227">
        <v>14584.6</v>
      </c>
      <c r="CI7" s="227">
        <v>14462.02</v>
      </c>
      <c r="CJ7" s="227">
        <v>12874.95</v>
      </c>
    </row>
    <row r="8" spans="2:88" ht="19.5" customHeight="1">
      <c r="B8" s="211" t="s">
        <v>29</v>
      </c>
      <c r="C8" s="228"/>
      <c r="D8" s="228">
        <f>D7-C7</f>
        <v>-407.60340015999964</v>
      </c>
      <c r="E8" s="228">
        <f>E7-D7</f>
        <v>84.65037045999998</v>
      </c>
      <c r="F8" s="228">
        <f>F7-E7</f>
        <v>-159.12383877000048</v>
      </c>
      <c r="G8" s="228">
        <f aca="true" t="shared" si="0" ref="G8:AG8">G7-F7</f>
        <v>52.4365916200004</v>
      </c>
      <c r="H8" s="228">
        <f t="shared" si="0"/>
        <v>-36.20000000000027</v>
      </c>
      <c r="I8" s="228">
        <f t="shared" si="0"/>
        <v>-238.5999999999999</v>
      </c>
      <c r="J8" s="228">
        <f t="shared" si="0"/>
        <v>290.1999999999998</v>
      </c>
      <c r="K8" s="228">
        <f t="shared" si="0"/>
        <v>286.7000000000003</v>
      </c>
      <c r="L8" s="228">
        <f t="shared" si="0"/>
        <v>-376.9000000000001</v>
      </c>
      <c r="M8" s="228">
        <f t="shared" si="0"/>
        <v>19.300000000000182</v>
      </c>
      <c r="N8" s="228">
        <f t="shared" si="0"/>
        <v>600.5702829799993</v>
      </c>
      <c r="O8" s="229">
        <f t="shared" si="0"/>
        <v>-775.4572999099996</v>
      </c>
      <c r="P8" s="221">
        <f t="shared" si="0"/>
        <v>-111.30871772000023</v>
      </c>
      <c r="Q8" s="221">
        <f t="shared" si="0"/>
        <v>571.4957346500003</v>
      </c>
      <c r="R8" s="221">
        <f t="shared" si="0"/>
        <v>-535.1999999999998</v>
      </c>
      <c r="S8" s="221">
        <f t="shared" si="0"/>
        <v>-77.20000000000005</v>
      </c>
      <c r="T8" s="221">
        <f t="shared" si="0"/>
        <v>201.39999999999986</v>
      </c>
      <c r="U8" s="221">
        <f t="shared" si="0"/>
        <v>5.300000000000182</v>
      </c>
      <c r="V8" s="221">
        <f t="shared" si="0"/>
        <v>-181.70000000000005</v>
      </c>
      <c r="W8" s="221">
        <f t="shared" si="0"/>
        <v>399.39999999999986</v>
      </c>
      <c r="X8" s="221">
        <f t="shared" si="0"/>
        <v>-219.69999999999982</v>
      </c>
      <c r="Y8" s="221">
        <f t="shared" si="0"/>
        <v>-10.600000000000136</v>
      </c>
      <c r="Z8" s="221">
        <f t="shared" si="0"/>
        <v>350.20000000000005</v>
      </c>
      <c r="AA8" s="221">
        <f t="shared" si="0"/>
        <v>-298</v>
      </c>
      <c r="AB8" s="221">
        <f t="shared" si="0"/>
        <v>-116.90000000000009</v>
      </c>
      <c r="AC8" s="221">
        <f t="shared" si="0"/>
        <v>391.2000000000003</v>
      </c>
      <c r="AD8" s="221">
        <f t="shared" si="0"/>
        <v>-196.70000000000027</v>
      </c>
      <c r="AE8" s="221">
        <f t="shared" si="0"/>
        <v>-233</v>
      </c>
      <c r="AF8" s="221">
        <f t="shared" si="0"/>
        <v>480.5999999999999</v>
      </c>
      <c r="AG8" s="221">
        <f t="shared" si="0"/>
        <v>-195.5999999999999</v>
      </c>
      <c r="AH8" s="221">
        <f aca="true" t="shared" si="1" ref="AH8:BO8">AH7-AG7</f>
        <v>-340.89999999999986</v>
      </c>
      <c r="AI8" s="221">
        <f t="shared" si="1"/>
        <v>426.79999999999995</v>
      </c>
      <c r="AJ8" s="221">
        <f t="shared" si="1"/>
        <v>-342.77754000000004</v>
      </c>
      <c r="AK8" s="221">
        <f t="shared" si="1"/>
        <v>81.67754000000014</v>
      </c>
      <c r="AL8" s="221">
        <f t="shared" si="1"/>
        <v>721.5999999999999</v>
      </c>
      <c r="AM8" s="221">
        <f t="shared" si="1"/>
        <v>-9.5</v>
      </c>
      <c r="AN8" s="221">
        <f t="shared" si="1"/>
        <v>-237.9000000000001</v>
      </c>
      <c r="AO8" s="221">
        <f t="shared" si="1"/>
        <v>671.5999999999999</v>
      </c>
      <c r="AP8" s="221">
        <f t="shared" si="1"/>
        <v>-156.69999999999982</v>
      </c>
      <c r="AQ8" s="221">
        <f t="shared" si="1"/>
        <v>-295.0999999999999</v>
      </c>
      <c r="AR8" s="221">
        <f t="shared" si="1"/>
        <v>635.1999999999998</v>
      </c>
      <c r="AS8" s="221">
        <f t="shared" si="1"/>
        <v>-552.4000000000001</v>
      </c>
      <c r="AT8" s="221">
        <f t="shared" si="1"/>
        <v>358.5</v>
      </c>
      <c r="AU8" s="221">
        <f t="shared" si="1"/>
        <v>985.1999999999998</v>
      </c>
      <c r="AV8" s="221">
        <f t="shared" si="1"/>
        <v>-609.1999999999998</v>
      </c>
      <c r="AW8" s="221">
        <f t="shared" si="1"/>
        <v>-330.89999999999964</v>
      </c>
      <c r="AX8" s="221">
        <f t="shared" si="1"/>
        <v>1701.3000000000002</v>
      </c>
      <c r="AY8" s="221">
        <f t="shared" si="1"/>
        <v>-399.2000000000007</v>
      </c>
      <c r="AZ8" s="221">
        <f t="shared" si="1"/>
        <v>1223.6000000000004</v>
      </c>
      <c r="BA8" s="221">
        <f t="shared" si="1"/>
        <v>570.1000000000004</v>
      </c>
      <c r="BB8" s="230">
        <f t="shared" si="1"/>
        <v>-616.3000000000002</v>
      </c>
      <c r="BC8" s="231">
        <f t="shared" si="1"/>
        <v>441.5</v>
      </c>
      <c r="BD8" s="231">
        <f t="shared" si="1"/>
        <v>1370.5999999999995</v>
      </c>
      <c r="BE8" s="231">
        <f t="shared" si="1"/>
        <v>-1096.8999999999996</v>
      </c>
      <c r="BF8" s="231">
        <f t="shared" si="1"/>
        <v>-490.34991895000076</v>
      </c>
      <c r="BG8" s="231">
        <f t="shared" si="1"/>
        <v>631.2034899499995</v>
      </c>
      <c r="BH8" s="231">
        <f t="shared" si="1"/>
        <v>-242.8272380599983</v>
      </c>
      <c r="BI8" s="231">
        <f t="shared" si="1"/>
        <v>486.9228896800014</v>
      </c>
      <c r="BJ8" s="231">
        <f t="shared" si="1"/>
        <v>1753.9593119599976</v>
      </c>
      <c r="BK8" s="231">
        <f t="shared" si="1"/>
        <v>158.74594537000303</v>
      </c>
      <c r="BL8" s="231">
        <f t="shared" si="1"/>
        <v>244.12552004999816</v>
      </c>
      <c r="BM8" s="231">
        <f t="shared" si="1"/>
        <v>1048.850922739999</v>
      </c>
      <c r="BN8" s="231">
        <f t="shared" si="1"/>
        <v>-507.7306714799997</v>
      </c>
      <c r="BO8" s="231">
        <f t="shared" si="1"/>
        <v>255.9144642099982</v>
      </c>
      <c r="BP8" s="231">
        <f aca="true" t="shared" si="2" ref="BP8:BZ8">BP7-BO7</f>
        <v>2060.389267630002</v>
      </c>
      <c r="BQ8" s="231">
        <f t="shared" si="2"/>
        <v>-1027.3541809800026</v>
      </c>
      <c r="BR8" s="231">
        <f t="shared" si="2"/>
        <v>211.24874947000353</v>
      </c>
      <c r="BS8" s="231">
        <f t="shared" si="2"/>
        <v>2863.2185203699973</v>
      </c>
      <c r="BT8" s="231">
        <f t="shared" si="2"/>
        <v>-1079.5450759299983</v>
      </c>
      <c r="BU8" s="227">
        <f t="shared" si="2"/>
        <v>131.75477409999985</v>
      </c>
      <c r="BV8" s="227">
        <f t="shared" si="2"/>
        <v>1666.47322987</v>
      </c>
      <c r="BW8" s="232">
        <f t="shared" si="2"/>
        <v>-745</v>
      </c>
      <c r="BX8" s="233">
        <f t="shared" si="2"/>
        <v>357.2999999999993</v>
      </c>
      <c r="BY8" s="233">
        <f t="shared" si="2"/>
        <v>424.90600000000086</v>
      </c>
      <c r="BZ8" s="234">
        <f t="shared" si="2"/>
        <v>-355.57600000000093</v>
      </c>
      <c r="CA8" s="234">
        <v>-998.84</v>
      </c>
      <c r="CB8" s="234">
        <f aca="true" t="shared" si="3" ref="CB8:CJ8">CB7-CA7</f>
        <v>500.0482570000004</v>
      </c>
      <c r="CC8" s="234">
        <f t="shared" si="3"/>
        <v>133.16474299999936</v>
      </c>
      <c r="CD8" s="234">
        <f t="shared" si="3"/>
        <v>879.9599999999991</v>
      </c>
      <c r="CE8" s="234">
        <f t="shared" si="3"/>
        <v>1107.3700000000008</v>
      </c>
      <c r="CF8" s="234">
        <f t="shared" si="3"/>
        <v>-1509.9799999999996</v>
      </c>
      <c r="CG8" s="234">
        <f t="shared" si="3"/>
        <v>-489.14999999999964</v>
      </c>
      <c r="CH8" s="234">
        <f t="shared" si="3"/>
        <v>756.3999999999996</v>
      </c>
      <c r="CI8" s="234">
        <f t="shared" si="3"/>
        <v>-122.57999999999993</v>
      </c>
      <c r="CJ8" s="234">
        <f t="shared" si="3"/>
        <v>-1587.0699999999997</v>
      </c>
    </row>
    <row r="9" spans="2:88" ht="19.5" customHeight="1">
      <c r="B9" s="211"/>
      <c r="C9" s="212"/>
      <c r="D9" s="212"/>
      <c r="E9" s="212"/>
      <c r="F9" s="214"/>
      <c r="G9" s="214"/>
      <c r="H9" s="214"/>
      <c r="I9" s="214"/>
      <c r="J9" s="214"/>
      <c r="K9" s="214"/>
      <c r="L9" s="214"/>
      <c r="M9" s="215"/>
      <c r="N9" s="214"/>
      <c r="O9" s="216"/>
      <c r="P9" s="217"/>
      <c r="Q9" s="214"/>
      <c r="R9" s="217"/>
      <c r="S9" s="217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6"/>
      <c r="BV9" s="236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</row>
    <row r="10" spans="2:88" ht="19.5" customHeight="1">
      <c r="B10" s="211" t="s">
        <v>41</v>
      </c>
      <c r="C10" s="212"/>
      <c r="D10" s="212"/>
      <c r="E10" s="212"/>
      <c r="F10" s="214"/>
      <c r="G10" s="214"/>
      <c r="H10" s="214"/>
      <c r="I10" s="214"/>
      <c r="J10" s="214"/>
      <c r="K10" s="214"/>
      <c r="L10" s="214"/>
      <c r="M10" s="215"/>
      <c r="N10" s="214"/>
      <c r="O10" s="216"/>
      <c r="P10" s="217"/>
      <c r="Q10" s="214"/>
      <c r="R10" s="217"/>
      <c r="S10" s="217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6"/>
      <c r="BV10" s="236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</row>
    <row r="11" spans="2:88" ht="19.5" customHeight="1">
      <c r="B11" s="211"/>
      <c r="C11" s="212"/>
      <c r="D11" s="212"/>
      <c r="E11" s="212"/>
      <c r="F11" s="214"/>
      <c r="G11" s="214"/>
      <c r="H11" s="214"/>
      <c r="I11" s="214"/>
      <c r="J11" s="214"/>
      <c r="K11" s="214"/>
      <c r="L11" s="214"/>
      <c r="M11" s="215"/>
      <c r="N11" s="214"/>
      <c r="O11" s="216"/>
      <c r="P11" s="217"/>
      <c r="Q11" s="214"/>
      <c r="R11" s="217"/>
      <c r="S11" s="217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6"/>
      <c r="BV11" s="236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</row>
    <row r="12" spans="2:88" ht="19.5" customHeight="1">
      <c r="B12" s="211" t="s">
        <v>30</v>
      </c>
      <c r="C12" s="212"/>
      <c r="D12" s="212">
        <v>8.0439</v>
      </c>
      <c r="E12" s="212">
        <v>7.7068</v>
      </c>
      <c r="F12" s="237">
        <v>7.6652</v>
      </c>
      <c r="G12" s="237">
        <v>7.9027</v>
      </c>
      <c r="H12" s="237">
        <v>7.5401</v>
      </c>
      <c r="I12" s="214">
        <v>7.3922</v>
      </c>
      <c r="J12" s="214">
        <v>7.3246</v>
      </c>
      <c r="K12" s="214">
        <v>6.9637</v>
      </c>
      <c r="L12" s="214">
        <v>6.7287</v>
      </c>
      <c r="M12" s="215">
        <v>6.5159</v>
      </c>
      <c r="N12" s="214">
        <v>6.9179</v>
      </c>
      <c r="O12" s="215">
        <v>6.7686</v>
      </c>
      <c r="P12" s="214">
        <v>6.6633</v>
      </c>
      <c r="Q12" s="214">
        <v>6.5537</v>
      </c>
      <c r="R12" s="214">
        <v>6.7821</v>
      </c>
      <c r="S12" s="214">
        <v>6.4381</v>
      </c>
      <c r="T12" s="238">
        <v>6.1287</v>
      </c>
      <c r="U12" s="214">
        <v>6.4575</v>
      </c>
      <c r="V12" s="214">
        <v>6.5469</v>
      </c>
      <c r="W12" s="214">
        <v>6.3876</v>
      </c>
      <c r="X12" s="214">
        <v>6.0558</v>
      </c>
      <c r="Y12" s="214">
        <v>5.7323</v>
      </c>
      <c r="Z12" s="214">
        <v>5.9698</v>
      </c>
      <c r="AA12" s="214">
        <v>6.0161</v>
      </c>
      <c r="AB12" s="214">
        <v>6.323</v>
      </c>
      <c r="AC12" s="214">
        <v>6.1521</v>
      </c>
      <c r="AD12" s="214">
        <v>6.3314</v>
      </c>
      <c r="AE12" s="238">
        <v>6.75</v>
      </c>
      <c r="AF12" s="238">
        <v>6.7035</v>
      </c>
      <c r="AG12" s="238">
        <v>6.465</v>
      </c>
      <c r="AH12" s="238">
        <v>6.3578</v>
      </c>
      <c r="AI12" s="238">
        <v>6.5766</v>
      </c>
      <c r="AJ12" s="238">
        <v>6.521</v>
      </c>
      <c r="AK12" s="238">
        <v>6.3591</v>
      </c>
      <c r="AL12" s="238">
        <v>6.0891</v>
      </c>
      <c r="AM12" s="238">
        <v>6.1177</v>
      </c>
      <c r="AN12" s="238">
        <v>6.2544</v>
      </c>
      <c r="AO12" s="238">
        <v>6.072</v>
      </c>
      <c r="AP12" s="238">
        <v>6.3199</v>
      </c>
      <c r="AQ12" s="238">
        <v>6.9549</v>
      </c>
      <c r="AR12" s="238">
        <v>7.0843</v>
      </c>
      <c r="AS12" s="238">
        <v>6.9553</v>
      </c>
      <c r="AT12" s="238">
        <v>7.4098</v>
      </c>
      <c r="AU12" s="238">
        <v>7.6492</v>
      </c>
      <c r="AV12" s="238">
        <v>7.2586</v>
      </c>
      <c r="AW12" s="238">
        <v>7.0406</v>
      </c>
      <c r="AX12" s="238">
        <v>7.1838</v>
      </c>
      <c r="AY12" s="238">
        <v>7.1698</v>
      </c>
      <c r="AZ12" s="238">
        <v>7.3514</v>
      </c>
      <c r="BA12" s="238">
        <v>7.1216</v>
      </c>
      <c r="BB12" s="239">
        <v>7.0187</v>
      </c>
      <c r="BC12" s="239">
        <v>7.1718</v>
      </c>
      <c r="BD12" s="239">
        <v>6.973</v>
      </c>
      <c r="BE12" s="239">
        <v>7.2334</v>
      </c>
      <c r="BF12" s="239">
        <v>7.1282</v>
      </c>
      <c r="BG12" s="239">
        <v>6.7729</v>
      </c>
      <c r="BH12" s="239">
        <v>6.701</v>
      </c>
      <c r="BI12" s="239">
        <v>6.8271</v>
      </c>
      <c r="BJ12" s="239">
        <v>6.9874</v>
      </c>
      <c r="BK12" s="239">
        <v>7.6386</v>
      </c>
      <c r="BL12" s="239">
        <v>7.9799</v>
      </c>
      <c r="BM12" s="239">
        <v>7.7933</v>
      </c>
      <c r="BN12" s="239">
        <v>7.6238</v>
      </c>
      <c r="BO12" s="239">
        <v>7.9188</v>
      </c>
      <c r="BP12" s="239">
        <v>7.6393</v>
      </c>
      <c r="BQ12" s="239">
        <v>7.6578</v>
      </c>
      <c r="BR12" s="239">
        <v>8.0472</v>
      </c>
      <c r="BS12" s="239">
        <v>9.6715</v>
      </c>
      <c r="BT12" s="239">
        <v>10.1177</v>
      </c>
      <c r="BU12" s="240">
        <v>9.9456</v>
      </c>
      <c r="BV12" s="240">
        <v>9.897</v>
      </c>
      <c r="BW12" s="241">
        <v>10.0062</v>
      </c>
      <c r="BX12" s="241">
        <v>9.9932</v>
      </c>
      <c r="BY12" s="241">
        <v>9.018</v>
      </c>
      <c r="BZ12" s="241">
        <v>8.3723</v>
      </c>
      <c r="CA12" s="241">
        <v>8.0518</v>
      </c>
      <c r="CB12" s="241">
        <v>7.9513</v>
      </c>
      <c r="CC12" s="241">
        <v>7.9415</v>
      </c>
      <c r="CD12" s="241">
        <v>7.5235</v>
      </c>
      <c r="CE12" s="241">
        <v>8.5235</v>
      </c>
      <c r="CF12" s="241">
        <v>7.506138</v>
      </c>
      <c r="CG12" s="241">
        <v>7.4894</v>
      </c>
      <c r="CH12" s="241">
        <v>7.4527</v>
      </c>
      <c r="CI12" s="241">
        <v>7.7585</v>
      </c>
      <c r="CJ12" s="241">
        <v>7.4258</v>
      </c>
    </row>
    <row r="13" spans="2:88" ht="19.5" customHeight="1">
      <c r="B13" s="211" t="s">
        <v>31</v>
      </c>
      <c r="C13" s="242"/>
      <c r="D13" s="242">
        <f>1/8.0439</f>
        <v>0.124317806039359</v>
      </c>
      <c r="E13" s="242">
        <f>1/7.7068</f>
        <v>0.12975554056158198</v>
      </c>
      <c r="F13" s="243">
        <f>1/7.6652</f>
        <v>0.13045974012419767</v>
      </c>
      <c r="G13" s="243">
        <f>1/7.9027</f>
        <v>0.12653903096410088</v>
      </c>
      <c r="H13" s="243">
        <f>1/7.5401</f>
        <v>0.1326242357528415</v>
      </c>
      <c r="I13" s="243">
        <f>1/7.3922</f>
        <v>0.13527772516977354</v>
      </c>
      <c r="J13" s="243">
        <f>1/7.3246</f>
        <v>0.1365262266881468</v>
      </c>
      <c r="K13" s="243">
        <f>1/6.9637</f>
        <v>0.14360182087108864</v>
      </c>
      <c r="L13" s="243">
        <f>1/6.7287</f>
        <v>0.14861711771961894</v>
      </c>
      <c r="M13" s="243">
        <f>1/6.5159</f>
        <v>0.15347074080326586</v>
      </c>
      <c r="N13" s="243">
        <f>1/6.9179</f>
        <v>0.14455253761979792</v>
      </c>
      <c r="O13" s="244">
        <f>1/6.7686</f>
        <v>0.14774103950595396</v>
      </c>
      <c r="P13" s="243">
        <f>1/6.6633</f>
        <v>0.1500757882730779</v>
      </c>
      <c r="Q13" s="243">
        <f>1/6.5537</f>
        <v>0.15258556235409004</v>
      </c>
      <c r="R13" s="243">
        <f>1/6.7821</f>
        <v>0.14744695595759427</v>
      </c>
      <c r="S13" s="243">
        <f>1/6.4381</f>
        <v>0.15532532890138395</v>
      </c>
      <c r="T13" s="243">
        <f>1/6.1287</f>
        <v>0.1631667400916997</v>
      </c>
      <c r="U13" s="243">
        <f>1/6.4575</f>
        <v>0.1548586914440573</v>
      </c>
      <c r="V13" s="243">
        <f>1/6.5469</f>
        <v>0.15274404680077594</v>
      </c>
      <c r="W13" s="243">
        <f>1/6.3876</f>
        <v>0.15655332206149414</v>
      </c>
      <c r="X13" s="243">
        <f>1/6.0558</f>
        <v>0.16513094884243207</v>
      </c>
      <c r="Y13" s="243">
        <f>1/5.7323</f>
        <v>0.17445004622926225</v>
      </c>
      <c r="Z13" s="243">
        <f>1/5.9698</f>
        <v>0.1675097993232604</v>
      </c>
      <c r="AA13" s="243">
        <f>1/6.0161</f>
        <v>0.16622064127923405</v>
      </c>
      <c r="AB13" s="243">
        <f>1/6.0101</f>
        <v>0.16638658258598024</v>
      </c>
      <c r="AC13" s="243">
        <f>1/6.1521</f>
        <v>0.16254612246224867</v>
      </c>
      <c r="AD13" s="243">
        <f>1/6.3314</f>
        <v>0.1579429510060966</v>
      </c>
      <c r="AE13" s="243">
        <f>1/6.75</f>
        <v>0.14814814814814814</v>
      </c>
      <c r="AF13" s="243">
        <f>1/6.7035</f>
        <v>0.14917580368464234</v>
      </c>
      <c r="AG13" s="243">
        <f>1/6.465</f>
        <v>0.15467904098994587</v>
      </c>
      <c r="AH13" s="243">
        <f>1/6.3578</f>
        <v>0.1572871118940514</v>
      </c>
      <c r="AI13" s="243">
        <f>1/6.5766</f>
        <v>0.15205425295745523</v>
      </c>
      <c r="AJ13" s="243">
        <f>1/6.521</f>
        <v>0.15335071308081583</v>
      </c>
      <c r="AK13" s="243">
        <f>1/6.3591</f>
        <v>0.157254957462534</v>
      </c>
      <c r="AL13" s="243">
        <f>1/6.0891</f>
        <v>0.1642278826099095</v>
      </c>
      <c r="AM13" s="243">
        <f>1/6.1177</f>
        <v>0.16346012390277392</v>
      </c>
      <c r="AN13" s="243">
        <f>1/6.2544</f>
        <v>0.15988743924277307</v>
      </c>
      <c r="AO13" s="243">
        <f>1/6.072</f>
        <v>0.16469038208168643</v>
      </c>
      <c r="AP13" s="243">
        <f>1/6.3199</f>
        <v>0.15823035174607195</v>
      </c>
      <c r="AQ13" s="243">
        <f>1/6.9549</f>
        <v>0.14378351953299112</v>
      </c>
      <c r="AR13" s="243">
        <f>1/7.0843</f>
        <v>0.14115720678119223</v>
      </c>
      <c r="AS13" s="243">
        <f>1/6.9553</f>
        <v>0.14377525052837403</v>
      </c>
      <c r="AT13" s="243">
        <f>1/7.4098</f>
        <v>0.1349564090798672</v>
      </c>
      <c r="AU13" s="243">
        <f>1/7.6492</f>
        <v>0.13073262563405322</v>
      </c>
      <c r="AV13" s="243">
        <f>1/7.2586</f>
        <v>0.1377676135893974</v>
      </c>
      <c r="AW13" s="243">
        <f>1/7.0406</f>
        <v>0.14203334943044627</v>
      </c>
      <c r="AX13" s="243">
        <f>1/7.1838</f>
        <v>0.13920209359948774</v>
      </c>
      <c r="AY13" s="243">
        <f>1/7.1698</f>
        <v>0.13947390443248067</v>
      </c>
      <c r="AZ13" s="243">
        <f>1/7.3514</f>
        <v>0.13602851157602633</v>
      </c>
      <c r="BA13" s="243">
        <f>1/7.1216</f>
        <v>0.14041788362165805</v>
      </c>
      <c r="BB13" s="245">
        <f>1/7.0187</f>
        <v>0.14247652699217803</v>
      </c>
      <c r="BC13" s="245">
        <f>1/7.1718</f>
        <v>0.13943500934214562</v>
      </c>
      <c r="BD13" s="245">
        <f>1/6.973</f>
        <v>0.1434102968593145</v>
      </c>
      <c r="BE13" s="245">
        <f>1/7.2334</f>
        <v>0.1382475737550806</v>
      </c>
      <c r="BF13" s="245">
        <f>1/7.1282</f>
        <v>0.14028787071069837</v>
      </c>
      <c r="BG13" s="245">
        <f>1/6.7729</f>
        <v>0.14764724121129796</v>
      </c>
      <c r="BH13" s="245">
        <f>1/6.701</f>
        <v>0.14923145799134457</v>
      </c>
      <c r="BI13" s="245">
        <f>1/6.8271</f>
        <v>0.14647507726560327</v>
      </c>
      <c r="BJ13" s="245">
        <f>1/6.9871</f>
        <v>0.1431208942193471</v>
      </c>
      <c r="BK13" s="245">
        <f>1/7.6386</f>
        <v>0.13091404184012775</v>
      </c>
      <c r="BL13" s="245">
        <f>1/7.9799</f>
        <v>0.1253148535695936</v>
      </c>
      <c r="BM13" s="245">
        <f>1/7.7933</f>
        <v>0.1283153477987502</v>
      </c>
      <c r="BN13" s="245">
        <f>1/7.6238</f>
        <v>0.13116818384532647</v>
      </c>
      <c r="BO13" s="245">
        <f>1/7.9188</f>
        <v>0.12628175986260545</v>
      </c>
      <c r="BP13" s="245">
        <f>1/7.6393</f>
        <v>0.13090204599897895</v>
      </c>
      <c r="BQ13" s="245">
        <f>1/7.6578</f>
        <v>0.1305858079343937</v>
      </c>
      <c r="BR13" s="245">
        <f>1/8.0472</f>
        <v>0.12426682572820359</v>
      </c>
      <c r="BS13" s="245">
        <f>1/9.6715</f>
        <v>0.10339657757328233</v>
      </c>
      <c r="BT13" s="245">
        <f>1/10.1177</f>
        <v>0.09883669213358769</v>
      </c>
      <c r="BU13" s="240">
        <f>1/9.9456</f>
        <v>0.10054697554697554</v>
      </c>
      <c r="BV13" s="240">
        <f>1/9.897</f>
        <v>0.1010407194099222</v>
      </c>
      <c r="BW13" s="241">
        <f>1/10.006</f>
        <v>0.09994003597841294</v>
      </c>
      <c r="BX13" s="241">
        <f>1/9.9932</f>
        <v>0.1000680462714646</v>
      </c>
      <c r="BY13" s="241">
        <f>1/9.018</f>
        <v>0.11088933244621867</v>
      </c>
      <c r="BZ13" s="241">
        <f>1/8.3723</f>
        <v>0.11944149158534693</v>
      </c>
      <c r="CA13" s="241">
        <v>0.12419583198787848</v>
      </c>
      <c r="CB13" s="241">
        <f>1/7.9513</f>
        <v>0.12576559807830168</v>
      </c>
      <c r="CC13" s="241">
        <f>1/7.9415</f>
        <v>0.12592079581942958</v>
      </c>
      <c r="CD13" s="241">
        <f>1/7.5235</f>
        <v>0.1329168605037549</v>
      </c>
      <c r="CE13" s="241">
        <f>1/7.5235</f>
        <v>0.1329168605037549</v>
      </c>
      <c r="CF13" s="241">
        <f>1/7.5235</f>
        <v>0.1329168605037549</v>
      </c>
      <c r="CG13" s="241">
        <f>1/CG12</f>
        <v>0.13352204448954522</v>
      </c>
      <c r="CH13" s="241">
        <f>1/CH12</f>
        <v>0.13417955908596885</v>
      </c>
      <c r="CI13" s="241">
        <v>0.1289</v>
      </c>
      <c r="CJ13" s="241">
        <v>0.1347</v>
      </c>
    </row>
    <row r="14" spans="2:88" ht="19.5" customHeight="1" hidden="1">
      <c r="B14" s="211" t="s">
        <v>32</v>
      </c>
      <c r="C14" s="212"/>
      <c r="D14" s="212"/>
      <c r="E14" s="212"/>
      <c r="F14" s="237"/>
      <c r="G14" s="237"/>
      <c r="H14" s="237"/>
      <c r="I14" s="214"/>
      <c r="J14" s="214"/>
      <c r="K14" s="214"/>
      <c r="L14" s="214"/>
      <c r="M14" s="215"/>
      <c r="N14" s="214"/>
      <c r="O14" s="216"/>
      <c r="P14" s="217"/>
      <c r="Q14" s="214"/>
      <c r="R14" s="217"/>
      <c r="S14" s="217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40"/>
      <c r="BV14" s="240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</row>
    <row r="15" spans="2:88" ht="19.5" customHeight="1">
      <c r="B15" s="211" t="s">
        <v>33</v>
      </c>
      <c r="C15" s="242"/>
      <c r="D15" s="242">
        <f>1/12.7437</f>
        <v>0.07847014603294176</v>
      </c>
      <c r="E15" s="242">
        <f>1/12.124</f>
        <v>0.08248102936324644</v>
      </c>
      <c r="F15" s="243">
        <f>1/12.4393</f>
        <v>0.08039037566422548</v>
      </c>
      <c r="G15" s="243">
        <f>1/13.1219</f>
        <v>0.07620847590669035</v>
      </c>
      <c r="H15" s="243">
        <f>1/12.26</f>
        <v>0.08156606851549755</v>
      </c>
      <c r="I15" s="243">
        <f>1/11.7868</f>
        <v>0.08484066922319884</v>
      </c>
      <c r="J15" s="243">
        <f>1/11.702</f>
        <v>0.08545547769612032</v>
      </c>
      <c r="K15" s="243">
        <f>1/11.6744</f>
        <v>0.08565750702391557</v>
      </c>
      <c r="L15" s="243">
        <f>1/11.3692</f>
        <v>0.08795693628399535</v>
      </c>
      <c r="M15" s="243">
        <f>1/11.3073</f>
        <v>0.08843844242215207</v>
      </c>
      <c r="N15" s="243">
        <f>1/12.5935</f>
        <v>0.07940604279985707</v>
      </c>
      <c r="O15" s="244">
        <f>1/12.6411</f>
        <v>0.07910703973546607</v>
      </c>
      <c r="P15" s="243">
        <f>1/12.1204</f>
        <v>0.08250552787036732</v>
      </c>
      <c r="Q15" s="243">
        <f>1/11.8224</f>
        <v>0.08458519420760591</v>
      </c>
      <c r="R15" s="243">
        <f>1/12.1262</f>
        <v>0.08246606521416437</v>
      </c>
      <c r="S15" s="243">
        <f>1/11.7619</f>
        <v>0.08502027733614466</v>
      </c>
      <c r="T15" s="243">
        <f>1/11.2923</f>
        <v>0.08855591863482197</v>
      </c>
      <c r="U15" s="243">
        <f>1/11.7446</f>
        <v>0.08514551368288405</v>
      </c>
      <c r="V15" s="243">
        <f>1/11.736</f>
        <v>0.08520790729379686</v>
      </c>
      <c r="W15" s="243">
        <f>1/11.5461</f>
        <v>0.08660933128935312</v>
      </c>
      <c r="X15" s="243">
        <f>1/11.2483</f>
        <v>0.08890232301770044</v>
      </c>
      <c r="Y15" s="243">
        <f>1/11.601</f>
        <v>0.0861994655633135</v>
      </c>
      <c r="Z15" s="243">
        <f>1/11.2168</f>
        <v>0.08915198630625491</v>
      </c>
      <c r="AA15" s="243">
        <f>1/11.3535</f>
        <v>0.08807856608094419</v>
      </c>
      <c r="AB15" s="243">
        <f>1/11.8847</f>
        <v>0.08414179575420498</v>
      </c>
      <c r="AC15" s="243">
        <f>1/11.6567</f>
        <v>0.08578757281220242</v>
      </c>
      <c r="AD15" s="243">
        <f>1/11.7446</f>
        <v>0.08514551368288405</v>
      </c>
      <c r="AE15" s="243">
        <f>1/12.282</f>
        <v>0.08141996417521576</v>
      </c>
      <c r="AF15" s="243">
        <f>1/11.7407</f>
        <v>0.08517379713304998</v>
      </c>
      <c r="AG15" s="243">
        <f>1/11.5992</f>
        <v>0.0862128422649838</v>
      </c>
      <c r="AH15" s="243">
        <f>1/11.4978</f>
        <v>0.08697316008279846</v>
      </c>
      <c r="AI15" s="243">
        <f>1/11.5989</f>
        <v>0.08621507211890782</v>
      </c>
      <c r="AJ15" s="243">
        <f>1/11.2213</f>
        <v>0.08911623430440324</v>
      </c>
      <c r="AK15" s="243">
        <f>1/11.1059</f>
        <v>0.0900422298057789</v>
      </c>
      <c r="AL15" s="243">
        <f>1/10.7529</f>
        <v>0.09299816793609166</v>
      </c>
      <c r="AM15" s="243">
        <f>1/10.6948</f>
        <v>0.09350338482253057</v>
      </c>
      <c r="AN15" s="243">
        <f>1/10.907</f>
        <v>0.09168423947923351</v>
      </c>
      <c r="AO15" s="243">
        <f>1/10.7206</f>
        <v>0.09327836128574894</v>
      </c>
      <c r="AP15" s="243">
        <f>1/11.806</f>
        <v>0.08470269354565475</v>
      </c>
      <c r="AQ15" s="243">
        <f>1/12.8291</f>
        <v>0.07794779056987629</v>
      </c>
      <c r="AR15" s="243">
        <f>1/13.0643</f>
        <v>0.07654447616787735</v>
      </c>
      <c r="AS15" s="243">
        <f>1/13.1608</f>
        <v>0.07598322290438271</v>
      </c>
      <c r="AT15" s="243">
        <f>1/13.9706</f>
        <v>0.07157888709146351</v>
      </c>
      <c r="AU15" s="243">
        <f>1/14.3415</f>
        <v>0.069727713279643</v>
      </c>
      <c r="AV15" s="243">
        <f>1/13.8728</f>
        <v>0.07208350152817024</v>
      </c>
      <c r="AW15" s="243">
        <f>1/13.8362</f>
        <v>0.07227417932669375</v>
      </c>
      <c r="AX15" s="243">
        <f>1/14.0828</f>
        <v>0.07100860624307666</v>
      </c>
      <c r="AY15" s="243">
        <f>1/14.0398</f>
        <v>0.07122608584167865</v>
      </c>
      <c r="AZ15" s="243">
        <f>1/14.3044</f>
        <v>0.06990855960403793</v>
      </c>
      <c r="BA15" s="243">
        <f>1/14.1669</f>
        <v>0.07058707268350874</v>
      </c>
      <c r="BB15" s="245">
        <f>1/13.9229</f>
        <v>0.07182411710204052</v>
      </c>
      <c r="BC15" s="245">
        <f>1/14.2416</f>
        <v>0.07021682956971127</v>
      </c>
      <c r="BD15" s="245">
        <f>1/14.1833</f>
        <v>0.07050545359683572</v>
      </c>
      <c r="BE15" s="245">
        <f>1/14.525</f>
        <v>0.06884681583476764</v>
      </c>
      <c r="BF15" s="245">
        <f>1/14.3767</f>
        <v>0.06955699152100274</v>
      </c>
      <c r="BG15" s="245">
        <f>1/13.8408</f>
        <v>0.0722501589503497</v>
      </c>
      <c r="BH15" s="245">
        <f>1/13.8896</f>
        <v>0.07199631378873401</v>
      </c>
      <c r="BI15" s="245">
        <f>1/13.8016</f>
        <v>0.07245536749362393</v>
      </c>
      <c r="BJ15" s="245">
        <f>1/13.7527</f>
        <v>0.0727129945392541</v>
      </c>
      <c r="BK15" s="245">
        <f>1/15.0048</f>
        <v>0.06664534015781617</v>
      </c>
      <c r="BL15" s="245">
        <f>1/15.9805</f>
        <v>0.06257626482275273</v>
      </c>
      <c r="BM15" s="245">
        <f>1/15.4224</f>
        <v>0.06484075111526091</v>
      </c>
      <c r="BN15" s="245">
        <f>1/14.97</f>
        <v>0.0668002672010688</v>
      </c>
      <c r="BO15" s="245">
        <f>1/15.5595</f>
        <v>0.06426941739773129</v>
      </c>
      <c r="BP15" s="245">
        <f>1/15.1886</f>
        <v>0.0658388528238284</v>
      </c>
      <c r="BQ15" s="245">
        <f>1/14.4731</f>
        <v>0.06909369796380872</v>
      </c>
      <c r="BR15" s="245">
        <f>1/14.4452</f>
        <v>0.06922714811840612</v>
      </c>
      <c r="BS15" s="245">
        <f>1/16.3843</f>
        <v>0.06103403868337372</v>
      </c>
      <c r="BT15" s="245">
        <f>1/15.5129</f>
        <v>0.06446247961374083</v>
      </c>
      <c r="BU15" s="240">
        <f>1/14.8107</f>
        <v>0.06751875333373844</v>
      </c>
      <c r="BV15" s="240">
        <f>1/14.2861</f>
        <v>0.06999811005102863</v>
      </c>
      <c r="BW15" s="241">
        <f>1/14.4064</f>
        <v>0.06941359395824079</v>
      </c>
      <c r="BX15" s="241">
        <f>1/14.2015</f>
        <v>0.07041509699679611</v>
      </c>
      <c r="BY15" s="241">
        <f>1/13.2668</f>
        <v>0.07537612687309675</v>
      </c>
      <c r="BZ15" s="241">
        <f>1/12.91</f>
        <v>0.07745933384972889</v>
      </c>
      <c r="CA15" s="241">
        <v>0.07586274911430241</v>
      </c>
      <c r="CB15" s="241">
        <f>1/13.0024</f>
        <v>0.07690887836091799</v>
      </c>
      <c r="CC15" s="241">
        <f>1/13.1249</f>
        <v>0.07619105669376529</v>
      </c>
      <c r="CD15" s="241">
        <f>1/12.2854</f>
        <v>0.08139743109707458</v>
      </c>
      <c r="CE15" s="241">
        <f>1/12.2854</f>
        <v>0.08139743109707458</v>
      </c>
      <c r="CF15" s="241">
        <f>1/12.45388</f>
        <v>0.08029626108489885</v>
      </c>
      <c r="CG15" s="241">
        <f>1/12.1653</f>
        <v>0.0822010143605172</v>
      </c>
      <c r="CH15" s="241">
        <f>1/12.0599</f>
        <v>0.08291942719259694</v>
      </c>
      <c r="CI15" s="241">
        <v>0.0834</v>
      </c>
      <c r="CJ15" s="241">
        <v>0.0895</v>
      </c>
    </row>
    <row r="16" spans="2:88" ht="19.5" customHeight="1">
      <c r="B16" s="211" t="s">
        <v>34</v>
      </c>
      <c r="C16" s="242"/>
      <c r="D16" s="242">
        <f>1/0.0679</f>
        <v>14.727540500736376</v>
      </c>
      <c r="E16" s="242">
        <f>1/0.0642</f>
        <v>15.576323987538942</v>
      </c>
      <c r="F16" s="243">
        <f>1/0.0654</f>
        <v>15.290519877675841</v>
      </c>
      <c r="G16" s="243">
        <f>1/0.0668</f>
        <v>14.970059880239521</v>
      </c>
      <c r="H16" s="243">
        <f>1/0.0636</f>
        <v>15.723270440251572</v>
      </c>
      <c r="I16" s="243">
        <f>1/0.0622</f>
        <v>16.077170418006432</v>
      </c>
      <c r="J16" s="243">
        <f>1/0.0636</f>
        <v>15.723270440251572</v>
      </c>
      <c r="K16" s="243">
        <f>1/0.0636</f>
        <v>15.723270440251572</v>
      </c>
      <c r="L16" s="243">
        <f>1/0.0616</f>
        <v>16.233766233766232</v>
      </c>
      <c r="M16" s="243">
        <f>1/0.0604</f>
        <v>16.556291390728475</v>
      </c>
      <c r="N16" s="243">
        <f>1/0.065</f>
        <v>15.384615384615383</v>
      </c>
      <c r="O16" s="244">
        <f>1/0.0695</f>
        <v>14.388489208633093</v>
      </c>
      <c r="P16" s="243">
        <f>1/0.0611</f>
        <v>16.366612111292962</v>
      </c>
      <c r="Q16" s="243">
        <f>1/0.061</f>
        <v>16.39344262295082</v>
      </c>
      <c r="R16" s="243">
        <f>1/0.0606</f>
        <v>16.5016501650165</v>
      </c>
      <c r="S16" s="243">
        <f>1/0.0588</f>
        <v>17.006802721088437</v>
      </c>
      <c r="T16" s="243">
        <f>1/0.0561</f>
        <v>17.825311942959004</v>
      </c>
      <c r="U16" s="243">
        <f>1/0.0505</f>
        <v>19.801980198019802</v>
      </c>
      <c r="V16" s="243">
        <f>1/0.0595</f>
        <v>16.80672268907563</v>
      </c>
      <c r="W16" s="243">
        <f>1/0.0587</f>
        <v>17.035775127768314</v>
      </c>
      <c r="X16" s="243">
        <f>1/0.0578</f>
        <v>17.301038062283737</v>
      </c>
      <c r="Y16" s="243">
        <f>1/0.052</f>
        <v>19.23076923076923</v>
      </c>
      <c r="Z16" s="243">
        <f>1/0.0578</f>
        <v>17.301038062283737</v>
      </c>
      <c r="AA16" s="243">
        <f>1/0.0574</f>
        <v>17.421602787456447</v>
      </c>
      <c r="AB16" s="243">
        <f>1/0.0572</f>
        <v>17.482517482517483</v>
      </c>
      <c r="AC16" s="243">
        <f>1/0.0572</f>
        <v>17.482517482517483</v>
      </c>
      <c r="AD16" s="243">
        <f>1/0.0594</f>
        <v>16.835016835016834</v>
      </c>
      <c r="AE16" s="243">
        <f>1/0.0621</f>
        <v>16.10305958132045</v>
      </c>
      <c r="AF16" s="243">
        <f>1/0.0599</f>
        <v>16.69449081803005</v>
      </c>
      <c r="AG16" s="243">
        <f>1/0.0585</f>
        <v>17.094017094017094</v>
      </c>
      <c r="AH16" s="243">
        <f>1/0.0573</f>
        <v>17.452006980802793</v>
      </c>
      <c r="AI16" s="243">
        <f>1/0.0573</f>
        <v>17.452006980802793</v>
      </c>
      <c r="AJ16" s="243">
        <f>1/0.0545</f>
        <v>18.34862385321101</v>
      </c>
      <c r="AK16" s="243">
        <f>1/0.0536</f>
        <v>18.65671641791045</v>
      </c>
      <c r="AL16" s="243">
        <f>1/0.0528</f>
        <v>18.93939393939394</v>
      </c>
      <c r="AM16" s="243">
        <f>1/0.0519</f>
        <v>19.267822736030826</v>
      </c>
      <c r="AN16" s="243">
        <f>1/0.0533</f>
        <v>18.76172607879925</v>
      </c>
      <c r="AO16" s="243">
        <f>1/0.0518</f>
        <v>19.305019305019304</v>
      </c>
      <c r="AP16" s="243">
        <f>1/0.0566</f>
        <v>17.6678445229682</v>
      </c>
      <c r="AQ16" s="243">
        <f>1/0.0607</f>
        <v>16.474464579901156</v>
      </c>
      <c r="AR16" s="243">
        <f>1/0.0613</f>
        <v>16.31321370309951</v>
      </c>
      <c r="AS16" s="243">
        <f>1/0.06</f>
        <v>16.666666666666668</v>
      </c>
      <c r="AT16" s="243">
        <f>1/0.0633</f>
        <v>15.797788309636653</v>
      </c>
      <c r="AU16" s="243">
        <f>1/0.0645</f>
        <v>15.503875968992247</v>
      </c>
      <c r="AV16" s="243">
        <f>1/0.0619</f>
        <v>16.155088852988694</v>
      </c>
      <c r="AW16" s="243">
        <f>1/0.0601</f>
        <v>16.638935108153078</v>
      </c>
      <c r="AX16" s="243">
        <f>1/0.0597</f>
        <v>16.75041876046901</v>
      </c>
      <c r="AY16" s="243">
        <f>1/0.0595</f>
        <v>16.80672268907563</v>
      </c>
      <c r="AZ16" s="243">
        <f>1/0.0627</f>
        <v>15.948963317384369</v>
      </c>
      <c r="BA16" s="243">
        <f>1/0.06</f>
        <v>16.666666666666668</v>
      </c>
      <c r="BB16" s="245">
        <f>1/0.0581</f>
        <v>17.21170395869191</v>
      </c>
      <c r="BC16" s="245">
        <f>1/0.0585</f>
        <v>17.094017094017094</v>
      </c>
      <c r="BD16" s="245">
        <f>1/0.0574</f>
        <v>17.421602787456447</v>
      </c>
      <c r="BE16" s="245">
        <f>1/0.062</f>
        <v>16.129032258064516</v>
      </c>
      <c r="BF16" s="245">
        <f>1/0.062</f>
        <v>16.129032258064516</v>
      </c>
      <c r="BG16" s="245">
        <f>1/0.0585</f>
        <v>17.094017094017094</v>
      </c>
      <c r="BH16" s="245">
        <f>1/0.0603</f>
        <v>16.58374792703151</v>
      </c>
      <c r="BI16" s="245">
        <f>1/0.0609</f>
        <v>16.420361247947454</v>
      </c>
      <c r="BJ16" s="245">
        <f>1/0.0647</f>
        <v>15.45595054095827</v>
      </c>
      <c r="BK16" s="245">
        <f>1/0.0713</f>
        <v>14.025245441795231</v>
      </c>
      <c r="BL16" s="245">
        <f>1/0.0791</f>
        <v>12.642225031605562</v>
      </c>
      <c r="BM16" s="245">
        <f>1/0.0761</f>
        <v>13.140604467805518</v>
      </c>
      <c r="BN16" s="245">
        <f>1/0.0732</f>
        <v>13.66120218579235</v>
      </c>
      <c r="BO16" s="245">
        <f>1/0.0742</f>
        <v>13.477088948787062</v>
      </c>
      <c r="BP16" s="245">
        <f>1/0.0716</f>
        <v>13.966480446927374</v>
      </c>
      <c r="BQ16" s="245">
        <f>1/0.0701</f>
        <v>14.265335235378032</v>
      </c>
      <c r="BR16" s="245">
        <f>1/0.0754</f>
        <v>13.262599469496022</v>
      </c>
      <c r="BS16" s="245">
        <f>1/0.0964</f>
        <v>10.37344398340249</v>
      </c>
      <c r="BT16" s="245">
        <f>1/0.1044</f>
        <v>9.578544061302681</v>
      </c>
      <c r="BU16" s="240">
        <f>1/0.1091</f>
        <v>9.165902841429881</v>
      </c>
      <c r="BV16" s="240">
        <f>1/0.1095</f>
        <v>9.132420091324201</v>
      </c>
      <c r="BW16" s="241">
        <f>1/0.1083</f>
        <v>9.233610341643583</v>
      </c>
      <c r="BX16" s="241">
        <f>1/0.1023</f>
        <v>9.775171065493646</v>
      </c>
      <c r="BY16" s="241">
        <f>1/0.0913</f>
        <v>10.952902519167578</v>
      </c>
      <c r="BZ16" s="241">
        <f>1/0.0866</f>
        <v>11.547344110854503</v>
      </c>
      <c r="CA16" s="241">
        <v>11.990407673860911</v>
      </c>
      <c r="CB16" s="241">
        <f>1/0.0841</f>
        <v>11.890606420927469</v>
      </c>
      <c r="CC16" s="241">
        <f>1/0.0838</f>
        <v>11.933174224343675</v>
      </c>
      <c r="CD16" s="241">
        <f>1/0.0823</f>
        <v>12.150668286755772</v>
      </c>
      <c r="CE16" s="241">
        <f>1/0.0823</f>
        <v>12.150668286755772</v>
      </c>
      <c r="CF16" s="241">
        <v>11.8811</v>
      </c>
      <c r="CG16" s="241">
        <v>11.976</v>
      </c>
      <c r="CH16" s="241">
        <v>12.2549</v>
      </c>
      <c r="CI16" s="241">
        <v>11.7786</v>
      </c>
      <c r="CJ16" s="241">
        <v>12.1951</v>
      </c>
    </row>
    <row r="17" spans="2:88" ht="19.5" customHeight="1" hidden="1">
      <c r="B17" s="211" t="s">
        <v>34</v>
      </c>
      <c r="C17" s="246"/>
      <c r="D17" s="246"/>
      <c r="E17" s="246"/>
      <c r="F17" s="214"/>
      <c r="G17" s="214"/>
      <c r="H17" s="214"/>
      <c r="I17" s="214"/>
      <c r="J17" s="214"/>
      <c r="K17" s="214"/>
      <c r="L17" s="214"/>
      <c r="M17" s="214"/>
      <c r="N17" s="214"/>
      <c r="O17" s="216"/>
      <c r="P17" s="217"/>
      <c r="Q17" s="214"/>
      <c r="R17" s="217"/>
      <c r="S17" s="217"/>
      <c r="T17" s="217"/>
      <c r="U17" s="217"/>
      <c r="V17" s="217"/>
      <c r="W17" s="217"/>
      <c r="X17" s="217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45">
        <f>1/0.0742</f>
        <v>13.477088948787062</v>
      </c>
      <c r="BP17" s="245">
        <f>1/0.0716</f>
        <v>13.966480446927374</v>
      </c>
      <c r="BQ17" s="245">
        <f>1/0.0701</f>
        <v>14.265335235378032</v>
      </c>
      <c r="BR17" s="245">
        <f>1/0.0754</f>
        <v>13.262599469496022</v>
      </c>
      <c r="BS17" s="245">
        <f>1/0.0964</f>
        <v>10.37344398340249</v>
      </c>
      <c r="BT17" s="245">
        <f>1/0.1044</f>
        <v>9.578544061302681</v>
      </c>
      <c r="BU17" s="240">
        <f>1/0.1091</f>
        <v>9.165902841429881</v>
      </c>
      <c r="BV17" s="240">
        <f>1/0.1095</f>
        <v>9.132420091324201</v>
      </c>
      <c r="BW17" s="241">
        <f>1/0.1083</f>
        <v>9.233610341643583</v>
      </c>
      <c r="BX17" s="241">
        <f>1/0.1023</f>
        <v>9.775171065493646</v>
      </c>
      <c r="BY17" s="241">
        <f>1/0.0913</f>
        <v>10.952902519167578</v>
      </c>
      <c r="BZ17" s="241">
        <f>1/0.0866</f>
        <v>11.547344110854503</v>
      </c>
      <c r="CA17" s="241">
        <v>12.9904076738609</v>
      </c>
      <c r="CB17" s="241">
        <f>1/0.0841</f>
        <v>11.890606420927469</v>
      </c>
      <c r="CC17" s="241"/>
      <c r="CD17" s="241"/>
      <c r="CE17" s="241"/>
      <c r="CF17" s="241"/>
      <c r="CG17" s="241"/>
      <c r="CH17" s="241"/>
      <c r="CI17" s="241"/>
      <c r="CJ17" s="241"/>
    </row>
    <row r="18" spans="2:88" ht="19.5" customHeight="1">
      <c r="B18" s="247" t="s">
        <v>155</v>
      </c>
      <c r="C18" s="248"/>
      <c r="D18" s="248"/>
      <c r="E18" s="249"/>
      <c r="F18" s="250"/>
      <c r="G18" s="250"/>
      <c r="H18" s="250"/>
      <c r="I18" s="251"/>
      <c r="J18" s="251"/>
      <c r="K18" s="250"/>
      <c r="L18" s="250"/>
      <c r="M18" s="252"/>
      <c r="N18" s="251"/>
      <c r="O18" s="252"/>
      <c r="P18" s="253"/>
      <c r="Q18" s="250"/>
      <c r="R18" s="253"/>
      <c r="S18" s="253"/>
      <c r="T18" s="254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45"/>
      <c r="BP18" s="245">
        <f>1/12.0494</f>
        <v>0.08299168423323983</v>
      </c>
      <c r="BQ18" s="245">
        <f>1/11.4757</f>
        <v>0.08714065372918428</v>
      </c>
      <c r="BR18" s="245">
        <f>1/11.5514</f>
        <v>0.0865695932960507</v>
      </c>
      <c r="BS18" s="245">
        <f>1/12.9051</f>
        <v>0.07748874475982365</v>
      </c>
      <c r="BT18" s="245">
        <f>1/12.881</f>
        <v>0.07763372408974459</v>
      </c>
      <c r="BU18" s="240">
        <f>1/13.3723</f>
        <v>0.07478145120884216</v>
      </c>
      <c r="BV18" s="240">
        <f>1/13.13</f>
        <v>0.07616146230007616</v>
      </c>
      <c r="BW18" s="241">
        <f>1/12.8058</f>
        <v>0.07808961564291181</v>
      </c>
      <c r="BX18" s="241">
        <f>1/13.0511</f>
        <v>0.07662189393997441</v>
      </c>
      <c r="BY18" s="241">
        <f>1/11.9135</f>
        <v>0.08393838922231082</v>
      </c>
      <c r="BZ18" s="241">
        <f>1/11.4253</f>
        <v>0.08752505404672087</v>
      </c>
      <c r="CA18" s="241">
        <f>1/11.2957</f>
        <v>0.08852926334799968</v>
      </c>
      <c r="CB18" s="241">
        <f>1/11.1974</f>
        <v>0.08930644613928233</v>
      </c>
      <c r="CC18" s="241">
        <f>1/11.3256</f>
        <v>0.08829554284099739</v>
      </c>
      <c r="CD18" s="241">
        <f>1/10.9465</f>
        <v>0.09135340063033846</v>
      </c>
      <c r="CE18" s="241">
        <f>1/10.9465</f>
        <v>0.09135340063033846</v>
      </c>
      <c r="CF18" s="241">
        <f>1/11.19337</f>
        <v>0.08933859954598124</v>
      </c>
      <c r="CG18" s="241">
        <v>0.0914</v>
      </c>
      <c r="CH18" s="241">
        <v>0.0939</v>
      </c>
      <c r="CI18" s="241">
        <v>0.0953</v>
      </c>
      <c r="CJ18" s="241">
        <v>0.0992</v>
      </c>
    </row>
    <row r="19" spans="2:88" ht="19.5" customHeight="1">
      <c r="B19" s="255" t="s">
        <v>36</v>
      </c>
      <c r="C19" s="248"/>
      <c r="D19" s="248"/>
      <c r="E19" s="256"/>
      <c r="F19" s="250"/>
      <c r="G19" s="250"/>
      <c r="H19" s="250"/>
      <c r="I19" s="253"/>
      <c r="J19" s="253"/>
      <c r="K19" s="250"/>
      <c r="L19" s="250"/>
      <c r="M19" s="257"/>
      <c r="N19" s="253"/>
      <c r="O19" s="252"/>
      <c r="P19" s="253"/>
      <c r="Q19" s="250"/>
      <c r="R19" s="253"/>
      <c r="S19" s="253"/>
      <c r="T19" s="254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</row>
    <row r="20" spans="2:88" ht="19.5" customHeight="1" thickBot="1">
      <c r="B20" s="259" t="s">
        <v>35</v>
      </c>
      <c r="C20" s="260"/>
      <c r="D20" s="260"/>
      <c r="E20" s="261"/>
      <c r="F20" s="262"/>
      <c r="G20" s="262"/>
      <c r="H20" s="262"/>
      <c r="I20" s="263"/>
      <c r="J20" s="263"/>
      <c r="K20" s="262"/>
      <c r="L20" s="262"/>
      <c r="M20" s="264"/>
      <c r="N20" s="263"/>
      <c r="O20" s="265"/>
      <c r="P20" s="263"/>
      <c r="Q20" s="262"/>
      <c r="R20" s="263"/>
      <c r="S20" s="263"/>
      <c r="T20" s="266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</row>
    <row r="21" ht="19.5" customHeight="1">
      <c r="B21" s="188" t="s">
        <v>102</v>
      </c>
    </row>
    <row r="22" spans="75:79" ht="19.5" customHeight="1">
      <c r="BW22" s="193"/>
      <c r="BX22" s="193"/>
      <c r="BY22" s="193"/>
      <c r="BZ22" s="193"/>
      <c r="CA22" s="193"/>
    </row>
  </sheetData>
  <sheetProtection/>
  <printOptions horizontalCentered="1"/>
  <pageMargins left="0.95" right="0.49" top="1" bottom="1" header="0.5" footer="0.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69"/>
  <sheetViews>
    <sheetView showGridLines="0" zoomScale="99" zoomScaleNormal="99" zoomScaleSheetLayoutView="50" workbookViewId="0" topLeftCell="A1">
      <selection activeCell="N44" sqref="N44"/>
    </sheetView>
  </sheetViews>
  <sheetFormatPr defaultColWidth="9.140625" defaultRowHeight="12"/>
  <cols>
    <col min="11" max="11" width="8.7109375" style="0" customWidth="1"/>
  </cols>
  <sheetData>
    <row r="2" spans="1:15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15"/>
      <c r="L2" s="15"/>
      <c r="M2" s="15"/>
      <c r="N2" s="15"/>
      <c r="O2" s="15"/>
    </row>
    <row r="3" spans="2:15" ht="13.5" customHeight="1">
      <c r="B3" s="13"/>
      <c r="C3" s="17"/>
      <c r="D3" s="17"/>
      <c r="E3" s="17"/>
      <c r="F3" s="17"/>
      <c r="G3" s="17"/>
      <c r="H3" s="17"/>
      <c r="I3" s="16"/>
      <c r="J3" s="16"/>
      <c r="K3" s="15"/>
      <c r="L3" s="15"/>
      <c r="M3" s="15"/>
      <c r="N3" s="15"/>
      <c r="O3" s="15"/>
    </row>
    <row r="4" spans="1:15" ht="15.75">
      <c r="A4" s="310" t="s">
        <v>167</v>
      </c>
      <c r="B4" s="310"/>
      <c r="C4" s="310"/>
      <c r="D4" s="310"/>
      <c r="E4" s="310"/>
      <c r="F4" s="310"/>
      <c r="G4" s="310"/>
      <c r="H4" s="310"/>
      <c r="I4" s="310"/>
      <c r="J4" s="310"/>
      <c r="K4" s="18"/>
      <c r="L4" s="15"/>
      <c r="M4" s="15"/>
      <c r="N4" s="15"/>
      <c r="O4" s="15"/>
    </row>
    <row r="5" spans="1:15" ht="12.75">
      <c r="A5" s="19"/>
      <c r="B5" s="20"/>
      <c r="C5" s="20"/>
      <c r="D5" s="20"/>
      <c r="E5" s="20"/>
      <c r="F5" s="20"/>
      <c r="G5" s="20"/>
      <c r="H5" s="20"/>
      <c r="I5" s="20"/>
      <c r="J5" s="20"/>
      <c r="K5" s="18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6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5.75">
      <c r="A30" s="310" t="s">
        <v>168</v>
      </c>
      <c r="B30" s="310" t="s">
        <v>163</v>
      </c>
      <c r="C30" s="310"/>
      <c r="D30" s="310"/>
      <c r="E30" s="310"/>
      <c r="F30" s="310"/>
      <c r="G30" s="310"/>
      <c r="H30" s="310"/>
      <c r="I30" s="310"/>
      <c r="J30" s="310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L37" s="15"/>
      <c r="M37" s="15"/>
      <c r="N37" s="15"/>
      <c r="O37" s="15"/>
    </row>
    <row r="38" spans="1:15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1:15" ht="12.75">
      <c r="K39" s="15"/>
      <c r="L39" s="15"/>
      <c r="M39" s="15"/>
      <c r="N39" s="15"/>
      <c r="O39" s="15"/>
    </row>
    <row r="40" spans="1:15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1:15" ht="12.75">
      <c r="K42" s="15"/>
      <c r="L42" s="15"/>
      <c r="M42" s="15"/>
      <c r="N42" s="15"/>
      <c r="O42" s="15"/>
    </row>
    <row r="43" spans="1:15" ht="12.75">
      <c r="A43" s="15"/>
      <c r="L43" s="15"/>
      <c r="M43" s="15"/>
      <c r="N43" s="15"/>
      <c r="O43" s="15"/>
    </row>
    <row r="44" spans="1:15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ht="12.75">
      <c r="A51" s="15"/>
      <c r="L51" s="15"/>
      <c r="M51" s="15"/>
      <c r="N51" s="15"/>
      <c r="O51" s="15"/>
    </row>
    <row r="52" spans="1:21" ht="20.25">
      <c r="A52" s="15"/>
      <c r="B52" s="15"/>
      <c r="C52" s="164"/>
      <c r="H52" s="15"/>
      <c r="I52" s="15"/>
      <c r="J52" s="15"/>
      <c r="K52" s="15"/>
      <c r="L52" s="15"/>
      <c r="M52" s="15"/>
      <c r="N52" s="15"/>
      <c r="O52" s="15"/>
      <c r="U52" t="s">
        <v>119</v>
      </c>
    </row>
    <row r="53" spans="1:15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1:15" ht="20.25">
      <c r="K57" s="267"/>
      <c r="L57" s="15"/>
      <c r="M57" s="15"/>
      <c r="N57" s="15"/>
      <c r="O57" s="15"/>
    </row>
    <row r="58" spans="1:15" ht="20.25">
      <c r="A58" s="15"/>
      <c r="B58" s="15"/>
      <c r="C58" s="15"/>
      <c r="D58" s="164"/>
      <c r="E58" s="164"/>
      <c r="F58" s="164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</sheetData>
  <sheetProtection/>
  <mergeCells count="3">
    <mergeCell ref="A2:J2"/>
    <mergeCell ref="A4:J4"/>
    <mergeCell ref="A30:J30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A85">
      <selection activeCell="L79" sqref="L79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2" thickBot="1">
      <c r="B1" t="s">
        <v>119</v>
      </c>
    </row>
    <row r="2" spans="1:11" ht="11.25">
      <c r="A2" s="104"/>
      <c r="B2" s="318" t="s">
        <v>75</v>
      </c>
      <c r="C2" s="319"/>
      <c r="D2" s="319"/>
      <c r="E2" s="319"/>
      <c r="F2" s="319"/>
      <c r="G2" s="319"/>
      <c r="H2" s="319"/>
      <c r="I2" s="319"/>
      <c r="J2" s="319"/>
      <c r="K2" s="320"/>
    </row>
    <row r="3" spans="1:11" ht="11.25">
      <c r="A3" s="104"/>
      <c r="B3" s="321" t="s">
        <v>112</v>
      </c>
      <c r="C3" s="299"/>
      <c r="D3" s="299"/>
      <c r="E3" s="299"/>
      <c r="F3" s="299"/>
      <c r="G3" s="299"/>
      <c r="H3" s="299"/>
      <c r="I3" s="299"/>
      <c r="J3" s="299"/>
      <c r="K3" s="322"/>
    </row>
    <row r="4" spans="1:11" ht="11.25">
      <c r="A4" s="104"/>
      <c r="B4" s="106"/>
      <c r="C4" s="69"/>
      <c r="D4" s="43"/>
      <c r="E4" s="69"/>
      <c r="F4" s="302" t="s">
        <v>107</v>
      </c>
      <c r="G4" s="304"/>
      <c r="H4" s="126" t="s">
        <v>126</v>
      </c>
      <c r="I4" s="302" t="s">
        <v>127</v>
      </c>
      <c r="J4" s="316"/>
      <c r="K4" s="317"/>
    </row>
    <row r="5" spans="1:11" ht="11.25">
      <c r="A5" s="104"/>
      <c r="B5" s="107"/>
      <c r="C5" s="12">
        <v>39873</v>
      </c>
      <c r="D5" s="12">
        <v>40210</v>
      </c>
      <c r="E5" s="12">
        <v>40238</v>
      </c>
      <c r="F5" s="12" t="s">
        <v>156</v>
      </c>
      <c r="G5" s="59" t="s">
        <v>157</v>
      </c>
      <c r="H5" s="59" t="s">
        <v>170</v>
      </c>
      <c r="I5" s="12">
        <v>40179</v>
      </c>
      <c r="J5" s="12">
        <v>40210</v>
      </c>
      <c r="K5" s="12">
        <v>40238</v>
      </c>
    </row>
    <row r="6" spans="1:12" ht="11.25">
      <c r="A6" s="104"/>
      <c r="B6" s="108" t="s">
        <v>53</v>
      </c>
      <c r="C6" s="142">
        <v>14405.11418372</v>
      </c>
      <c r="D6" s="142">
        <v>14722.203356580003</v>
      </c>
      <c r="E6" s="142">
        <v>13137.851230109998</v>
      </c>
      <c r="F6" s="142">
        <v>-1584.3521264700048</v>
      </c>
      <c r="G6" s="142">
        <v>-1267.2629536100012</v>
      </c>
      <c r="H6" s="143">
        <v>-10.761650875864909</v>
      </c>
      <c r="I6" s="143">
        <v>-3.812142997268153</v>
      </c>
      <c r="J6" s="143">
        <v>-2.6916327036590637</v>
      </c>
      <c r="K6" s="172">
        <v>-8.797312797715994</v>
      </c>
      <c r="L6" s="54"/>
    </row>
    <row r="7" spans="1:12" ht="11.25">
      <c r="A7" s="104"/>
      <c r="B7" s="108" t="s">
        <v>140</v>
      </c>
      <c r="C7" s="142">
        <v>13990.45048788</v>
      </c>
      <c r="D7" s="142">
        <v>14661.475975020003</v>
      </c>
      <c r="E7" s="142">
        <v>13076.208520319999</v>
      </c>
      <c r="F7" s="142">
        <v>-1585.2674547000042</v>
      </c>
      <c r="G7" s="142">
        <v>-914.2419675600013</v>
      </c>
      <c r="H7" s="143">
        <v>-10.81246838586346</v>
      </c>
      <c r="I7" s="143">
        <v>-2.133626997297333</v>
      </c>
      <c r="J7" s="143">
        <v>-0.19962475353818565</v>
      </c>
      <c r="K7" s="172">
        <v>-6.534757178491246</v>
      </c>
      <c r="L7" s="54"/>
    </row>
    <row r="8" spans="1:12" ht="11.25">
      <c r="A8" s="104"/>
      <c r="B8" s="109" t="s">
        <v>54</v>
      </c>
      <c r="C8" s="144">
        <v>7853.1366665099995</v>
      </c>
      <c r="D8" s="144">
        <v>12951.890442710002</v>
      </c>
      <c r="E8" s="144">
        <v>11451.242465039999</v>
      </c>
      <c r="F8" s="144">
        <v>-1500.6479776700035</v>
      </c>
      <c r="G8" s="144">
        <v>3598.1057985299994</v>
      </c>
      <c r="H8" s="145">
        <v>-11.586323898490402</v>
      </c>
      <c r="I8" s="145">
        <v>43.69406992609155</v>
      </c>
      <c r="J8" s="145">
        <v>50.43897241595807</v>
      </c>
      <c r="K8" s="173">
        <v>45.81743513867853</v>
      </c>
      <c r="L8" s="54"/>
    </row>
    <row r="9" spans="1:12" ht="11.25">
      <c r="A9" s="104"/>
      <c r="B9" s="109" t="s">
        <v>55</v>
      </c>
      <c r="C9" s="144">
        <v>6023.976424480001</v>
      </c>
      <c r="D9" s="144">
        <v>3E-08</v>
      </c>
      <c r="E9" s="144">
        <v>-1E-08</v>
      </c>
      <c r="F9" s="144">
        <v>-4E-08</v>
      </c>
      <c r="G9" s="144">
        <v>-6023.976424490001</v>
      </c>
      <c r="H9" s="145">
        <v>-133.33333333333334</v>
      </c>
      <c r="I9" s="145">
        <v>-100</v>
      </c>
      <c r="J9" s="145">
        <v>-99.99999999949607</v>
      </c>
      <c r="K9" s="173">
        <v>-100.000000000166</v>
      </c>
      <c r="L9" s="54"/>
    </row>
    <row r="10" spans="1:12" ht="11.25">
      <c r="A10" s="104"/>
      <c r="B10" s="109" t="s">
        <v>56</v>
      </c>
      <c r="C10" s="144">
        <v>113.33739689000004</v>
      </c>
      <c r="D10" s="144">
        <v>1709.58553228</v>
      </c>
      <c r="E10" s="144">
        <v>1624.96605529</v>
      </c>
      <c r="F10" s="144">
        <v>-84.61947699000007</v>
      </c>
      <c r="G10" s="144">
        <v>1511.6286584</v>
      </c>
      <c r="H10" s="145">
        <v>-4.949707130309341</v>
      </c>
      <c r="I10" s="145">
        <v>1210.9853147017657</v>
      </c>
      <c r="J10" s="145">
        <v>1233.6972583231789</v>
      </c>
      <c r="K10" s="173">
        <v>1333.742171498006</v>
      </c>
      <c r="L10" s="54"/>
    </row>
    <row r="11" spans="1:12" ht="11.25">
      <c r="A11" s="104"/>
      <c r="B11" s="108" t="s">
        <v>57</v>
      </c>
      <c r="C11" s="142">
        <v>414.66369584</v>
      </c>
      <c r="D11" s="142">
        <v>60.72738156</v>
      </c>
      <c r="E11" s="142">
        <v>61.64270979</v>
      </c>
      <c r="F11" s="142">
        <v>0.9153282300000001</v>
      </c>
      <c r="G11" s="142">
        <v>-353.02098605000003</v>
      </c>
      <c r="H11" s="143">
        <v>1.5072743241788475</v>
      </c>
      <c r="I11" s="143">
        <v>-81.97141456148857</v>
      </c>
      <c r="J11" s="143">
        <v>-86.15520356036075</v>
      </c>
      <c r="K11" s="172">
        <v>-85.13428824167303</v>
      </c>
      <c r="L11" s="54"/>
    </row>
    <row r="12" spans="1:12" ht="11.25">
      <c r="A12" s="104"/>
      <c r="B12" s="109" t="s">
        <v>97</v>
      </c>
      <c r="C12" s="144">
        <v>391.47127896</v>
      </c>
      <c r="D12" s="144">
        <v>37.59076691</v>
      </c>
      <c r="E12" s="144">
        <v>37.722931460000005</v>
      </c>
      <c r="F12" s="144">
        <v>0.13216455000000593</v>
      </c>
      <c r="G12" s="144">
        <v>-353.7483475</v>
      </c>
      <c r="H12" s="145">
        <v>0.3515877989838168</v>
      </c>
      <c r="I12" s="145">
        <v>-87.68699700182071</v>
      </c>
      <c r="J12" s="145">
        <v>-90.96164749597548</v>
      </c>
      <c r="K12" s="173">
        <v>-90.36380611108524</v>
      </c>
      <c r="L12" s="54"/>
    </row>
    <row r="13" spans="1:12" ht="11.25">
      <c r="A13" s="104"/>
      <c r="B13" s="109" t="s">
        <v>76</v>
      </c>
      <c r="C13" s="144">
        <v>0.03722773</v>
      </c>
      <c r="D13" s="144">
        <v>0.03722773</v>
      </c>
      <c r="E13" s="144">
        <v>0.03722773</v>
      </c>
      <c r="F13" s="144">
        <v>0</v>
      </c>
      <c r="G13" s="144">
        <v>0</v>
      </c>
      <c r="H13" s="145">
        <v>0</v>
      </c>
      <c r="I13" s="145">
        <v>-15.107420334876087</v>
      </c>
      <c r="J13" s="145">
        <v>-20.066730331431305</v>
      </c>
      <c r="K13" s="173">
        <v>-29.00587856627753</v>
      </c>
      <c r="L13" s="54"/>
    </row>
    <row r="14" spans="1:12" ht="11.25">
      <c r="A14" s="104"/>
      <c r="B14" s="109" t="s">
        <v>58</v>
      </c>
      <c r="C14" s="144">
        <v>23.155189150000005</v>
      </c>
      <c r="D14" s="144">
        <v>23.099386919999997</v>
      </c>
      <c r="E14" s="144">
        <v>23.882550599999995</v>
      </c>
      <c r="F14" s="144">
        <v>0.7831636799999977</v>
      </c>
      <c r="G14" s="144">
        <v>0.7273614499999894</v>
      </c>
      <c r="H14" s="145">
        <v>3.3904089433729343</v>
      </c>
      <c r="I14" s="145">
        <v>0</v>
      </c>
      <c r="J14" s="145">
        <v>0</v>
      </c>
      <c r="K14" s="173">
        <v>0</v>
      </c>
      <c r="L14" s="54"/>
    </row>
    <row r="15" spans="1:12" ht="11.25">
      <c r="A15" s="104"/>
      <c r="B15" s="110"/>
      <c r="C15" s="142"/>
      <c r="D15" s="142"/>
      <c r="E15" s="142"/>
      <c r="F15" s="142"/>
      <c r="G15" s="142"/>
      <c r="H15" s="143"/>
      <c r="I15" s="143"/>
      <c r="J15" s="143"/>
      <c r="K15" s="172"/>
      <c r="L15" s="54"/>
    </row>
    <row r="16" spans="1:12" ht="11.25">
      <c r="A16" s="104"/>
      <c r="B16" s="108" t="s">
        <v>59</v>
      </c>
      <c r="C16" s="142">
        <v>14405.135303220006</v>
      </c>
      <c r="D16" s="142">
        <v>14722.2213963</v>
      </c>
      <c r="E16" s="142">
        <v>13137.828352059994</v>
      </c>
      <c r="F16" s="142">
        <v>-1584.393044240005</v>
      </c>
      <c r="G16" s="142">
        <v>-1267.3069511600115</v>
      </c>
      <c r="H16" s="143">
        <v>-10.761915621226807</v>
      </c>
      <c r="I16" s="143">
        <v>-3.8122492750686576</v>
      </c>
      <c r="J16" s="143">
        <v>-2.691371592270042</v>
      </c>
      <c r="K16" s="172">
        <v>-8.797605329515568</v>
      </c>
      <c r="L16" s="54"/>
    </row>
    <row r="17" spans="1:12" ht="11.25">
      <c r="A17" s="104"/>
      <c r="B17" s="108" t="s">
        <v>60</v>
      </c>
      <c r="C17" s="142">
        <v>3653.6152545400064</v>
      </c>
      <c r="D17" s="142">
        <v>4434.295964209998</v>
      </c>
      <c r="E17" s="142">
        <v>5029.204207249995</v>
      </c>
      <c r="F17" s="142">
        <v>594.9082430399976</v>
      </c>
      <c r="G17" s="142">
        <v>1375.588952709989</v>
      </c>
      <c r="H17" s="143">
        <v>13.416069830286686</v>
      </c>
      <c r="I17" s="145">
        <v>30.73939584281038</v>
      </c>
      <c r="J17" s="145">
        <v>42.04575826769743</v>
      </c>
      <c r="K17" s="172">
        <v>37.650076893035546</v>
      </c>
      <c r="L17" s="54"/>
    </row>
    <row r="18" spans="1:12" ht="11.25">
      <c r="A18" s="104"/>
      <c r="B18" s="109" t="s">
        <v>61</v>
      </c>
      <c r="C18" s="144">
        <v>1531.83262455</v>
      </c>
      <c r="D18" s="144">
        <v>1506.56686675</v>
      </c>
      <c r="E18" s="144">
        <v>1590.6017827</v>
      </c>
      <c r="F18" s="144">
        <v>84.03491595000014</v>
      </c>
      <c r="G18" s="144">
        <v>58.76915815000007</v>
      </c>
      <c r="H18" s="145">
        <v>5.577908143651278</v>
      </c>
      <c r="I18" s="145">
        <v>-0.0026444167278150132</v>
      </c>
      <c r="J18" s="145">
        <v>0.6398527434895218</v>
      </c>
      <c r="K18" s="173">
        <v>3.836526080469427</v>
      </c>
      <c r="L18" s="54"/>
    </row>
    <row r="19" spans="1:12" ht="11.25">
      <c r="A19" s="104"/>
      <c r="B19" s="109" t="s">
        <v>62</v>
      </c>
      <c r="C19" s="144">
        <v>2121.782629990006</v>
      </c>
      <c r="D19" s="144">
        <v>2927.7290974599973</v>
      </c>
      <c r="E19" s="144">
        <v>3438.6024245499952</v>
      </c>
      <c r="F19" s="144">
        <v>510.87332708999793</v>
      </c>
      <c r="G19" s="144">
        <v>1316.819794559989</v>
      </c>
      <c r="H19" s="145">
        <v>17.449473980813835</v>
      </c>
      <c r="I19" s="145">
        <v>58.45122571444925</v>
      </c>
      <c r="J19" s="145">
        <v>80.19574027410583</v>
      </c>
      <c r="K19" s="173">
        <v>62.06195563803778</v>
      </c>
      <c r="L19" s="54"/>
    </row>
    <row r="20" spans="1:12" ht="11.25">
      <c r="A20" s="104"/>
      <c r="B20" s="108" t="s">
        <v>98</v>
      </c>
      <c r="C20" s="142">
        <v>10687.10945384</v>
      </c>
      <c r="D20" s="142">
        <v>10416.584967130002</v>
      </c>
      <c r="E20" s="142">
        <v>8142.03972803</v>
      </c>
      <c r="F20" s="142">
        <v>-2274.5452391000017</v>
      </c>
      <c r="G20" s="142">
        <v>-2545.069725809999</v>
      </c>
      <c r="H20" s="143">
        <v>-21.835805556978897</v>
      </c>
      <c r="I20" s="143">
        <v>-11.912363537533865</v>
      </c>
      <c r="J20" s="143">
        <v>-13.357658320865461</v>
      </c>
      <c r="K20" s="172">
        <v>-23.81438813556388</v>
      </c>
      <c r="L20" s="54"/>
    </row>
    <row r="21" spans="1:12" ht="11.25">
      <c r="A21" s="104"/>
      <c r="B21" s="109" t="s">
        <v>141</v>
      </c>
      <c r="C21" s="144">
        <v>7233.5135708299995</v>
      </c>
      <c r="D21" s="144">
        <v>6875.052400640001</v>
      </c>
      <c r="E21" s="144">
        <v>5135.380206630001</v>
      </c>
      <c r="F21" s="144">
        <v>-1739.6721940099997</v>
      </c>
      <c r="G21" s="144">
        <v>-2098.133364199998</v>
      </c>
      <c r="H21" s="145">
        <v>-25.304129956130268</v>
      </c>
      <c r="I21" s="145">
        <v>-15.107356485671186</v>
      </c>
      <c r="J21" s="145">
        <v>-20.066643476354773</v>
      </c>
      <c r="K21" s="173">
        <v>-29.005729285709357</v>
      </c>
      <c r="L21" s="54"/>
    </row>
    <row r="22" spans="1:12" ht="11.25">
      <c r="A22" s="104"/>
      <c r="B22" s="111" t="s">
        <v>63</v>
      </c>
      <c r="C22" s="144">
        <v>3453.59588301</v>
      </c>
      <c r="D22" s="144">
        <v>3541.53256649</v>
      </c>
      <c r="E22" s="144">
        <v>3006.6595213999994</v>
      </c>
      <c r="F22" s="144">
        <v>-534.8730450900007</v>
      </c>
      <c r="G22" s="144">
        <v>-446.9363616100004</v>
      </c>
      <c r="H22" s="145">
        <v>-15.102869592418047</v>
      </c>
      <c r="I22" s="145">
        <v>-3.973087833582223</v>
      </c>
      <c r="J22" s="145">
        <v>3.5072657477413838</v>
      </c>
      <c r="K22" s="173">
        <v>-12.941188742108146</v>
      </c>
      <c r="L22" s="54"/>
    </row>
    <row r="23" spans="1:12" ht="11.25">
      <c r="A23" s="104"/>
      <c r="B23" s="112" t="s">
        <v>0</v>
      </c>
      <c r="C23" s="144">
        <v>8.1691562</v>
      </c>
      <c r="D23" s="144">
        <v>6.11477452</v>
      </c>
      <c r="E23" s="144">
        <v>5.54146882</v>
      </c>
      <c r="F23" s="144">
        <v>-0.5733056999999997</v>
      </c>
      <c r="G23" s="144">
        <v>-2.6276873799999994</v>
      </c>
      <c r="H23" s="145">
        <v>-9.375745550794237</v>
      </c>
      <c r="I23" s="145">
        <v>-12.23871037824187</v>
      </c>
      <c r="J23" s="145">
        <v>-22.5971112103297</v>
      </c>
      <c r="K23" s="173">
        <v>-32.16595833973648</v>
      </c>
      <c r="L23" s="54"/>
    </row>
    <row r="24" spans="1:12" ht="11.25">
      <c r="A24" s="104"/>
      <c r="B24" s="112" t="s">
        <v>99</v>
      </c>
      <c r="C24" s="144">
        <v>120.39649695000008</v>
      </c>
      <c r="D24" s="144">
        <v>83.75151056999997</v>
      </c>
      <c r="E24" s="144">
        <v>81.82957237</v>
      </c>
      <c r="F24" s="144">
        <v>-1.9219381999999712</v>
      </c>
      <c r="G24" s="144">
        <v>-38.56692458000009</v>
      </c>
      <c r="H24" s="145">
        <v>-2.2948101913858676</v>
      </c>
      <c r="I24" s="145">
        <v>-32.827965006600245</v>
      </c>
      <c r="J24" s="145">
        <v>-30.318097388089083</v>
      </c>
      <c r="K24" s="173">
        <v>-32.033261396315126</v>
      </c>
      <c r="L24" s="54"/>
    </row>
    <row r="25" spans="1:12" ht="12" thickBot="1">
      <c r="A25" s="104"/>
      <c r="B25" s="113" t="s">
        <v>92</v>
      </c>
      <c r="C25" s="174">
        <v>-64.15505831000004</v>
      </c>
      <c r="D25" s="174">
        <v>-218.52582013000006</v>
      </c>
      <c r="E25" s="174">
        <v>-120.78662441000009</v>
      </c>
      <c r="F25" s="174">
        <v>97.73919571999997</v>
      </c>
      <c r="G25" s="174">
        <v>-56.63156610000004</v>
      </c>
      <c r="H25" s="175">
        <v>-44.72661201401983</v>
      </c>
      <c r="I25" s="175">
        <v>47.37595290970058</v>
      </c>
      <c r="J25" s="175">
        <v>52.89046170506515</v>
      </c>
      <c r="K25" s="176">
        <v>88.27295554210836</v>
      </c>
      <c r="L25" s="54"/>
    </row>
    <row r="26" spans="2:12" ht="12" customHeight="1" hidden="1">
      <c r="B26" s="58" t="s">
        <v>74</v>
      </c>
      <c r="C26" s="146">
        <v>-0.02111950000653451</v>
      </c>
      <c r="D26" s="146">
        <v>-0.018039719996522763</v>
      </c>
      <c r="E26" s="146">
        <v>0.022878050003782846</v>
      </c>
      <c r="F26" s="146">
        <v>0.04091777000030561</v>
      </c>
      <c r="G26" s="146">
        <v>0.043997550010317354</v>
      </c>
      <c r="H26" s="146">
        <v>0.0002647453618980222</v>
      </c>
      <c r="I26" s="146">
        <v>0.0001062778005045395</v>
      </c>
      <c r="J26" s="146">
        <v>-0.0002611113890216288</v>
      </c>
      <c r="K26" s="147">
        <v>0.0002925317995732257</v>
      </c>
      <c r="L26" s="54">
        <f>(E26-C26)/C26*100</f>
        <v>-208.3266649149091</v>
      </c>
    </row>
    <row r="27" spans="2:11" ht="11.2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1.25">
      <c r="B28" s="44"/>
      <c r="C28" s="45"/>
      <c r="D28" s="45"/>
      <c r="E28" s="45"/>
      <c r="F28" s="45"/>
      <c r="G28" s="45"/>
      <c r="H28" s="45"/>
      <c r="I28" s="45"/>
      <c r="J28" s="45"/>
      <c r="K28" s="46"/>
    </row>
    <row r="29" spans="2:11" ht="12" thickBot="1">
      <c r="B29" s="44"/>
      <c r="C29" s="45"/>
      <c r="D29" s="45"/>
      <c r="E29" s="45"/>
      <c r="F29" s="45"/>
      <c r="G29" s="45"/>
      <c r="H29" s="45"/>
      <c r="I29" s="45"/>
      <c r="J29" s="45"/>
      <c r="K29" s="46"/>
    </row>
    <row r="30" spans="1:12" ht="11.25">
      <c r="A30" s="104"/>
      <c r="B30" s="318" t="s">
        <v>75</v>
      </c>
      <c r="C30" s="319"/>
      <c r="D30" s="319"/>
      <c r="E30" s="319"/>
      <c r="F30" s="319"/>
      <c r="G30" s="319"/>
      <c r="H30" s="319"/>
      <c r="I30" s="319"/>
      <c r="J30" s="319"/>
      <c r="K30" s="320"/>
      <c r="L30" s="104"/>
    </row>
    <row r="31" spans="1:12" ht="11.25">
      <c r="A31" s="104"/>
      <c r="B31" s="321" t="s">
        <v>113</v>
      </c>
      <c r="C31" s="299"/>
      <c r="D31" s="299"/>
      <c r="E31" s="299"/>
      <c r="F31" s="299"/>
      <c r="G31" s="299"/>
      <c r="H31" s="299"/>
      <c r="I31" s="299"/>
      <c r="J31" s="299"/>
      <c r="K31" s="322"/>
      <c r="L31" s="104"/>
    </row>
    <row r="32" spans="1:12" ht="11.25">
      <c r="A32" s="104"/>
      <c r="B32" s="106"/>
      <c r="C32" s="69"/>
      <c r="D32" s="43"/>
      <c r="E32" s="69"/>
      <c r="F32" s="302" t="s">
        <v>107</v>
      </c>
      <c r="G32" s="304"/>
      <c r="H32" s="126" t="s">
        <v>126</v>
      </c>
      <c r="I32" s="302" t="s">
        <v>127</v>
      </c>
      <c r="J32" s="316"/>
      <c r="K32" s="317"/>
      <c r="L32" s="104"/>
    </row>
    <row r="33" spans="1:12" ht="11.25">
      <c r="A33" s="104"/>
      <c r="B33" s="107"/>
      <c r="C33" s="12">
        <f>C5</f>
        <v>39873</v>
      </c>
      <c r="D33" s="68">
        <f>D5</f>
        <v>40210</v>
      </c>
      <c r="E33" s="12">
        <f>E5</f>
        <v>40238</v>
      </c>
      <c r="F33" s="12" t="s">
        <v>110</v>
      </c>
      <c r="G33" s="59" t="s">
        <v>109</v>
      </c>
      <c r="H33" s="59" t="s">
        <v>128</v>
      </c>
      <c r="I33" s="12">
        <f>I5</f>
        <v>40179</v>
      </c>
      <c r="J33" s="12">
        <f>J5</f>
        <v>40210</v>
      </c>
      <c r="K33" s="171">
        <f>K5</f>
        <v>40238</v>
      </c>
      <c r="L33" s="104"/>
    </row>
    <row r="34" spans="1:12" ht="11.25">
      <c r="A34" s="104"/>
      <c r="B34" s="114" t="s">
        <v>53</v>
      </c>
      <c r="C34" s="155">
        <v>46799.749599898765</v>
      </c>
      <c r="D34" s="155">
        <v>52140.34711715363</v>
      </c>
      <c r="E34" s="155">
        <v>53293.63266534642</v>
      </c>
      <c r="F34" s="155">
        <v>1153.2855481927909</v>
      </c>
      <c r="G34" s="155">
        <v>6493.883065447655</v>
      </c>
      <c r="H34" s="156">
        <v>2.211886978046934</v>
      </c>
      <c r="I34" s="156">
        <v>15.003791774527485</v>
      </c>
      <c r="J34" s="156">
        <v>15.047240763177827</v>
      </c>
      <c r="K34" s="177">
        <v>13.882627246710722</v>
      </c>
      <c r="L34" s="104"/>
    </row>
    <row r="35" spans="1:13" ht="11.25">
      <c r="A35" s="104"/>
      <c r="B35" s="114" t="s">
        <v>140</v>
      </c>
      <c r="C35" s="155">
        <v>2469.9307884350524</v>
      </c>
      <c r="D35" s="155">
        <v>4341.179001889999</v>
      </c>
      <c r="E35" s="155">
        <v>4249.424591295</v>
      </c>
      <c r="F35" s="155">
        <v>-91.75441059499917</v>
      </c>
      <c r="G35" s="155">
        <v>1779.4938028599477</v>
      </c>
      <c r="H35" s="156">
        <v>-2.1135827514841585</v>
      </c>
      <c r="I35" s="156">
        <v>60.116831375790184</v>
      </c>
      <c r="J35" s="156">
        <v>103.88912564185797</v>
      </c>
      <c r="K35" s="177">
        <v>72.04630231713635</v>
      </c>
      <c r="L35" s="104"/>
      <c r="M35" s="198"/>
    </row>
    <row r="36" spans="1:12" ht="11.25">
      <c r="A36" s="104"/>
      <c r="B36" s="115" t="s">
        <v>64</v>
      </c>
      <c r="C36" s="157">
        <v>277.71253541000004</v>
      </c>
      <c r="D36" s="157">
        <v>141.79801126</v>
      </c>
      <c r="E36" s="157">
        <v>129.887491815</v>
      </c>
      <c r="F36" s="157">
        <v>-11.910519445000006</v>
      </c>
      <c r="G36" s="157">
        <v>-147.82504359500004</v>
      </c>
      <c r="H36" s="158">
        <v>-8.399637864568458</v>
      </c>
      <c r="I36" s="158">
        <v>-25.22647811973823</v>
      </c>
      <c r="J36" s="158">
        <v>-36.70351743802689</v>
      </c>
      <c r="K36" s="178">
        <v>-53.229517845407656</v>
      </c>
      <c r="L36" s="104"/>
    </row>
    <row r="37" spans="1:12" ht="11.25">
      <c r="A37" s="104"/>
      <c r="B37" s="115" t="s">
        <v>54</v>
      </c>
      <c r="C37" s="157">
        <v>1840.6534380753264</v>
      </c>
      <c r="D37" s="157">
        <v>3967.89199063</v>
      </c>
      <c r="E37" s="157">
        <v>3885.3240994799994</v>
      </c>
      <c r="F37" s="157">
        <v>-82.56789115000038</v>
      </c>
      <c r="G37" s="157">
        <v>2044.670661404673</v>
      </c>
      <c r="H37" s="158">
        <v>-2.0809006733293343</v>
      </c>
      <c r="I37" s="158">
        <v>76.2258461504253</v>
      </c>
      <c r="J37" s="158">
        <v>131.0143599351312</v>
      </c>
      <c r="K37" s="178">
        <v>111.08395633360924</v>
      </c>
      <c r="L37" s="104"/>
    </row>
    <row r="38" spans="1:12" ht="11.25">
      <c r="A38" s="104"/>
      <c r="B38" s="115" t="s">
        <v>65</v>
      </c>
      <c r="C38" s="157">
        <v>85.241</v>
      </c>
      <c r="D38" s="157">
        <v>106.79</v>
      </c>
      <c r="E38" s="157">
        <v>108.591</v>
      </c>
      <c r="F38" s="157">
        <v>1.8009999999999877</v>
      </c>
      <c r="G38" s="157">
        <v>23.349999999999994</v>
      </c>
      <c r="H38" s="158">
        <v>1.6864874988294667</v>
      </c>
      <c r="I38" s="158">
        <v>31.36776602364655</v>
      </c>
      <c r="J38" s="158">
        <v>31.264212402433778</v>
      </c>
      <c r="K38" s="178">
        <v>27.39292124681785</v>
      </c>
      <c r="L38" s="104"/>
    </row>
    <row r="39" spans="1:12" ht="11.25">
      <c r="A39" s="104"/>
      <c r="B39" s="115" t="s">
        <v>66</v>
      </c>
      <c r="C39" s="157">
        <v>266.32381494972606</v>
      </c>
      <c r="D39" s="157">
        <v>124.69900000000001</v>
      </c>
      <c r="E39" s="157">
        <v>125.62200000000001</v>
      </c>
      <c r="F39" s="157">
        <v>0.9230000000000018</v>
      </c>
      <c r="G39" s="157">
        <v>-140.70181494972604</v>
      </c>
      <c r="H39" s="158">
        <v>0.7401823591207642</v>
      </c>
      <c r="I39" s="158">
        <v>25.66724536669629</v>
      </c>
      <c r="J39" s="158">
        <v>17.403757587319333</v>
      </c>
      <c r="K39" s="178">
        <v>-52.831105237917356</v>
      </c>
      <c r="L39" s="104"/>
    </row>
    <row r="40" spans="1:14" ht="11.25">
      <c r="A40" s="104"/>
      <c r="B40" s="114" t="s">
        <v>57</v>
      </c>
      <c r="C40" s="155">
        <v>42045.11884704372</v>
      </c>
      <c r="D40" s="155">
        <v>44928.99912169056</v>
      </c>
      <c r="E40" s="155">
        <v>45762.450618205025</v>
      </c>
      <c r="F40" s="155">
        <v>833.4514965144626</v>
      </c>
      <c r="G40" s="155">
        <v>3717.3317711613054</v>
      </c>
      <c r="H40" s="156">
        <v>1.8550413158705192</v>
      </c>
      <c r="I40" s="156">
        <v>9.723665262247083</v>
      </c>
      <c r="J40" s="156">
        <v>9.487946330812026</v>
      </c>
      <c r="K40" s="177">
        <v>8.841292100242647</v>
      </c>
      <c r="L40" s="200"/>
      <c r="M40" s="200"/>
      <c r="N40" s="200"/>
    </row>
    <row r="41" spans="1:12" ht="11.25">
      <c r="A41" s="104"/>
      <c r="B41" s="115" t="s">
        <v>77</v>
      </c>
      <c r="C41" s="157">
        <v>2434.900303143715</v>
      </c>
      <c r="D41" s="157">
        <v>2986.6222161799997</v>
      </c>
      <c r="E41" s="157">
        <v>3582.6012775199997</v>
      </c>
      <c r="F41" s="157">
        <v>595.97906134</v>
      </c>
      <c r="G41" s="157">
        <v>1147.7009743762846</v>
      </c>
      <c r="H41" s="158">
        <v>19.954953060728226</v>
      </c>
      <c r="I41" s="158">
        <v>62.933661457340165</v>
      </c>
      <c r="J41" s="158">
        <v>58.97968304057779</v>
      </c>
      <c r="K41" s="178">
        <v>47.13544012025792</v>
      </c>
      <c r="L41" s="104"/>
    </row>
    <row r="42" spans="1:12" ht="11.25">
      <c r="A42" s="104"/>
      <c r="B42" s="115" t="s">
        <v>76</v>
      </c>
      <c r="C42" s="157">
        <v>2374.0592229299996</v>
      </c>
      <c r="D42" s="157">
        <v>2255.263051333701</v>
      </c>
      <c r="E42" s="157">
        <v>2493.879292323701</v>
      </c>
      <c r="F42" s="157">
        <v>238.61624099000028</v>
      </c>
      <c r="G42" s="157">
        <v>119.82006939370149</v>
      </c>
      <c r="H42" s="158">
        <v>10.580417253272923</v>
      </c>
      <c r="I42" s="158">
        <v>-28.45648283704537</v>
      </c>
      <c r="J42" s="158">
        <v>-7.813036437785925</v>
      </c>
      <c r="K42" s="178">
        <v>5.047054775904991</v>
      </c>
      <c r="L42" s="104"/>
    </row>
    <row r="43" spans="1:12" ht="11.25">
      <c r="A43" s="104"/>
      <c r="B43" s="115" t="s">
        <v>47</v>
      </c>
      <c r="C43" s="157">
        <v>2667.4493241399996</v>
      </c>
      <c r="D43" s="157">
        <v>2798.83484712</v>
      </c>
      <c r="E43" s="157">
        <v>2858.3061544800003</v>
      </c>
      <c r="F43" s="157">
        <v>59.47130736000008</v>
      </c>
      <c r="G43" s="157">
        <v>190.85683034000067</v>
      </c>
      <c r="H43" s="158">
        <v>2.1248594721905807</v>
      </c>
      <c r="I43" s="158">
        <v>6.604838821468362</v>
      </c>
      <c r="J43" s="158">
        <v>11.058649438031454</v>
      </c>
      <c r="K43" s="178">
        <v>7.155031160771319</v>
      </c>
      <c r="L43" s="104"/>
    </row>
    <row r="44" spans="1:12" ht="11.25">
      <c r="A44" s="104"/>
      <c r="B44" s="115" t="s">
        <v>78</v>
      </c>
      <c r="C44" s="157">
        <v>76.56268824000001</v>
      </c>
      <c r="D44" s="157">
        <v>70.72793197000001</v>
      </c>
      <c r="E44" s="157">
        <v>24.46339872</v>
      </c>
      <c r="F44" s="157">
        <v>-46.264533250000014</v>
      </c>
      <c r="G44" s="157">
        <v>-52.09928952000001</v>
      </c>
      <c r="H44" s="158">
        <v>-65.41196944599426</v>
      </c>
      <c r="I44" s="158">
        <v>-4.7705638742564505</v>
      </c>
      <c r="J44" s="158">
        <v>-9.59327857315011</v>
      </c>
      <c r="K44" s="178">
        <v>-68.0478843123756</v>
      </c>
      <c r="L44" s="104"/>
    </row>
    <row r="45" spans="1:12" ht="11.25">
      <c r="A45" s="104"/>
      <c r="B45" s="115" t="s">
        <v>136</v>
      </c>
      <c r="C45" s="157">
        <v>476.12438514</v>
      </c>
      <c r="D45" s="157">
        <v>414.83191901</v>
      </c>
      <c r="E45" s="157">
        <v>458.34449555</v>
      </c>
      <c r="F45" s="157">
        <v>43.51257654</v>
      </c>
      <c r="G45" s="157">
        <v>-17.77988959000004</v>
      </c>
      <c r="H45" s="158">
        <v>10.489206482433449</v>
      </c>
      <c r="I45" s="158">
        <v>-6.180971061178841</v>
      </c>
      <c r="J45" s="158">
        <v>-20.85419560317098</v>
      </c>
      <c r="K45" s="178">
        <v>-3.7342951012206638</v>
      </c>
      <c r="L45" s="104"/>
    </row>
    <row r="46" spans="1:12" ht="11.25">
      <c r="A46" s="104"/>
      <c r="B46" s="115" t="s">
        <v>142</v>
      </c>
      <c r="C46" s="157">
        <v>11724.15125094</v>
      </c>
      <c r="D46" s="157">
        <v>13041.819337406861</v>
      </c>
      <c r="E46" s="157">
        <v>12850.96305547133</v>
      </c>
      <c r="F46" s="157">
        <v>-190.85628193553202</v>
      </c>
      <c r="G46" s="157">
        <v>1126.8118045313295</v>
      </c>
      <c r="H46" s="158">
        <v>-1.4634176183388266</v>
      </c>
      <c r="I46" s="158">
        <v>18.767621912440013</v>
      </c>
      <c r="J46" s="158">
        <v>11.552392291899816</v>
      </c>
      <c r="K46" s="178">
        <v>9.611030942994581</v>
      </c>
      <c r="L46" s="104"/>
    </row>
    <row r="47" spans="1:12" ht="11.25">
      <c r="A47" s="104"/>
      <c r="B47" s="115" t="s">
        <v>48</v>
      </c>
      <c r="C47" s="157">
        <v>22291.871672510002</v>
      </c>
      <c r="D47" s="157">
        <v>23360.89981867</v>
      </c>
      <c r="E47" s="157">
        <v>23493.89294414</v>
      </c>
      <c r="F47" s="157">
        <v>132.99312546999863</v>
      </c>
      <c r="G47" s="157">
        <v>1202.0212716299975</v>
      </c>
      <c r="H47" s="158">
        <v>0.5692979572803557</v>
      </c>
      <c r="I47" s="158">
        <v>5.96224900635407</v>
      </c>
      <c r="J47" s="158">
        <v>6.686215959485131</v>
      </c>
      <c r="K47" s="178">
        <v>5.39219536739175</v>
      </c>
      <c r="L47" s="104"/>
    </row>
    <row r="48" spans="1:12" ht="11.25">
      <c r="A48" s="104"/>
      <c r="B48" s="116" t="s">
        <v>143</v>
      </c>
      <c r="C48" s="155">
        <v>2284.69996442</v>
      </c>
      <c r="D48" s="155">
        <v>2870.168993573066</v>
      </c>
      <c r="E48" s="155">
        <v>3281.7574558463957</v>
      </c>
      <c r="F48" s="155">
        <v>411.5884622733297</v>
      </c>
      <c r="G48" s="155">
        <v>997.0574914263957</v>
      </c>
      <c r="H48" s="156">
        <v>14.34021701143612</v>
      </c>
      <c r="I48" s="156">
        <v>60.550213764397</v>
      </c>
      <c r="J48" s="156">
        <v>33.13819964484714</v>
      </c>
      <c r="K48" s="177">
        <v>43.84221866754467</v>
      </c>
      <c r="L48" s="104"/>
    </row>
    <row r="49" spans="1:12" ht="11.25">
      <c r="A49" s="104"/>
      <c r="B49" s="117"/>
      <c r="C49" s="155"/>
      <c r="D49" s="155"/>
      <c r="E49" s="155"/>
      <c r="F49" s="155"/>
      <c r="G49" s="157"/>
      <c r="H49" s="158"/>
      <c r="I49" s="158"/>
      <c r="J49" s="158"/>
      <c r="K49" s="178"/>
      <c r="L49" s="104"/>
    </row>
    <row r="50" spans="1:12" ht="11.25">
      <c r="A50" s="104"/>
      <c r="B50" s="114" t="s">
        <v>59</v>
      </c>
      <c r="C50" s="155">
        <v>46799.75097054127</v>
      </c>
      <c r="D50" s="155">
        <v>52140.35491913884</v>
      </c>
      <c r="E50" s="155">
        <v>53293.639922131624</v>
      </c>
      <c r="F50" s="155">
        <v>1153.2850029927868</v>
      </c>
      <c r="G50" s="155">
        <v>6493.8889515903575</v>
      </c>
      <c r="H50" s="156">
        <v>2.21188560143356</v>
      </c>
      <c r="I50" s="156">
        <v>14.996835683672693</v>
      </c>
      <c r="J50" s="156">
        <v>15.040176832090225</v>
      </c>
      <c r="K50" s="177">
        <v>13.875904928806193</v>
      </c>
      <c r="L50" s="104"/>
    </row>
    <row r="51" spans="1:12" ht="11.25">
      <c r="A51" s="104"/>
      <c r="B51" s="118" t="s">
        <v>67</v>
      </c>
      <c r="C51" s="155">
        <v>1016.52314959</v>
      </c>
      <c r="D51" s="155">
        <v>635.41312635</v>
      </c>
      <c r="E51" s="155">
        <v>608.9099470900001</v>
      </c>
      <c r="F51" s="155">
        <v>-26.50317925999991</v>
      </c>
      <c r="G51" s="155">
        <v>-407.61320249999994</v>
      </c>
      <c r="H51" s="156">
        <v>-4.171015385256829</v>
      </c>
      <c r="I51" s="156">
        <v>-55.84389651580285</v>
      </c>
      <c r="J51" s="156">
        <v>-53.379453016493805</v>
      </c>
      <c r="K51" s="177">
        <v>-40.09876240048295</v>
      </c>
      <c r="L51" s="104"/>
    </row>
    <row r="52" spans="1:12" ht="11.25">
      <c r="A52" s="104"/>
      <c r="B52" s="115" t="s">
        <v>54</v>
      </c>
      <c r="C52" s="157">
        <v>231.82546085</v>
      </c>
      <c r="D52" s="157">
        <v>524.9588699999999</v>
      </c>
      <c r="E52" s="157">
        <v>508.30994709000004</v>
      </c>
      <c r="F52" s="157">
        <v>-16.648922909999897</v>
      </c>
      <c r="G52" s="157">
        <v>276.48448624</v>
      </c>
      <c r="H52" s="158">
        <v>-3.1714718735964778</v>
      </c>
      <c r="I52" s="158">
        <v>31.720462937459935</v>
      </c>
      <c r="J52" s="158">
        <v>-6.688578408907208</v>
      </c>
      <c r="K52" s="178">
        <v>119.26407273224235</v>
      </c>
      <c r="L52" s="104"/>
    </row>
    <row r="53" spans="1:12" ht="11.25">
      <c r="A53" s="104"/>
      <c r="B53" s="115" t="s">
        <v>144</v>
      </c>
      <c r="C53" s="157">
        <v>568.2942967</v>
      </c>
      <c r="D53" s="157">
        <v>100.6</v>
      </c>
      <c r="E53" s="157">
        <v>100.6</v>
      </c>
      <c r="F53" s="157">
        <v>0</v>
      </c>
      <c r="G53" s="157">
        <v>-467.6942967</v>
      </c>
      <c r="H53" s="158">
        <v>0</v>
      </c>
      <c r="I53" s="158">
        <v>-82.38641493912344</v>
      </c>
      <c r="J53" s="158">
        <v>-82.46560264337626</v>
      </c>
      <c r="K53" s="178">
        <v>-82.29790434565874</v>
      </c>
      <c r="L53" s="104"/>
    </row>
    <row r="54" spans="1:12" ht="11.25">
      <c r="A54" s="104"/>
      <c r="B54" s="115" t="s">
        <v>65</v>
      </c>
      <c r="C54" s="157">
        <v>216.40339204</v>
      </c>
      <c r="D54" s="157">
        <v>9.854256350000002</v>
      </c>
      <c r="E54" s="157">
        <v>0</v>
      </c>
      <c r="F54" s="157">
        <v>-9.854256350000002</v>
      </c>
      <c r="G54" s="157">
        <v>-216.40339204</v>
      </c>
      <c r="H54" s="158">
        <v>-100</v>
      </c>
      <c r="I54" s="158">
        <v>-93.84143514265926</v>
      </c>
      <c r="J54" s="158">
        <v>-95.6518128596259</v>
      </c>
      <c r="K54" s="178">
        <v>-100</v>
      </c>
      <c r="L54" s="104"/>
    </row>
    <row r="55" spans="1:12" ht="11.25">
      <c r="A55" s="104"/>
      <c r="B55" s="115" t="s">
        <v>68</v>
      </c>
      <c r="C55" s="157">
        <v>0</v>
      </c>
      <c r="D55" s="157">
        <v>0</v>
      </c>
      <c r="E55" s="157">
        <v>0</v>
      </c>
      <c r="F55" s="157">
        <v>0</v>
      </c>
      <c r="G55" s="157">
        <v>0</v>
      </c>
      <c r="H55" s="158">
        <v>0</v>
      </c>
      <c r="I55" s="158">
        <v>0</v>
      </c>
      <c r="J55" s="158">
        <v>0</v>
      </c>
      <c r="K55" s="178">
        <v>0</v>
      </c>
      <c r="L55" s="104"/>
    </row>
    <row r="56" spans="1:12" ht="11.25">
      <c r="A56" s="104"/>
      <c r="B56" s="114" t="s">
        <v>69</v>
      </c>
      <c r="C56" s="155">
        <v>45783.227820951266</v>
      </c>
      <c r="D56" s="155">
        <v>51504.941792788835</v>
      </c>
      <c r="E56" s="155">
        <v>52684.72997504163</v>
      </c>
      <c r="F56" s="155">
        <v>1179.7881822527925</v>
      </c>
      <c r="G56" s="155">
        <v>6901.502154090362</v>
      </c>
      <c r="H56" s="156">
        <v>2.290631036919206</v>
      </c>
      <c r="I56" s="156">
        <v>16.674559743884387</v>
      </c>
      <c r="J56" s="156">
        <v>17.161443913828744</v>
      </c>
      <c r="K56" s="177">
        <v>15.074302277420703</v>
      </c>
      <c r="L56" s="104"/>
    </row>
    <row r="57" spans="1:12" ht="11.25">
      <c r="A57" s="104"/>
      <c r="B57" s="115" t="s">
        <v>70</v>
      </c>
      <c r="C57" s="157">
        <v>28834.778220240703</v>
      </c>
      <c r="D57" s="157">
        <v>30495.75778679521</v>
      </c>
      <c r="E57" s="157">
        <v>32027.588638875204</v>
      </c>
      <c r="F57" s="157">
        <v>1531.8308520799947</v>
      </c>
      <c r="G57" s="157">
        <v>3192.810418634501</v>
      </c>
      <c r="H57" s="158">
        <v>5.023094893360164</v>
      </c>
      <c r="I57" s="158">
        <v>7.208366853103443</v>
      </c>
      <c r="J57" s="158">
        <v>8.526115556896308</v>
      </c>
      <c r="K57" s="178">
        <v>11.072776056218437</v>
      </c>
      <c r="L57" s="104"/>
    </row>
    <row r="58" spans="1:12" ht="11.25">
      <c r="A58" s="104"/>
      <c r="B58" s="119" t="s">
        <v>71</v>
      </c>
      <c r="C58" s="157">
        <v>18608.105361690432</v>
      </c>
      <c r="D58" s="157">
        <v>20886.58486504521</v>
      </c>
      <c r="E58" s="157">
        <v>21777.878340305208</v>
      </c>
      <c r="F58" s="157">
        <v>891.2934752599976</v>
      </c>
      <c r="G58" s="157">
        <v>3169.7729786147756</v>
      </c>
      <c r="H58" s="158">
        <v>4.26730114577814</v>
      </c>
      <c r="I58" s="158">
        <v>17.967343970782636</v>
      </c>
      <c r="J58" s="158">
        <v>18.111451271995694</v>
      </c>
      <c r="K58" s="178">
        <v>17.0343671051034</v>
      </c>
      <c r="L58" s="104"/>
    </row>
    <row r="59" spans="1:12" ht="11.25">
      <c r="A59" s="104"/>
      <c r="B59" s="119" t="s">
        <v>68</v>
      </c>
      <c r="C59" s="157">
        <v>10226.672858550273</v>
      </c>
      <c r="D59" s="157">
        <v>9609.17292175</v>
      </c>
      <c r="E59" s="157">
        <v>10249.710298569998</v>
      </c>
      <c r="F59" s="157">
        <v>640.5373768199988</v>
      </c>
      <c r="G59" s="157">
        <v>23.03744001972518</v>
      </c>
      <c r="H59" s="158">
        <v>6.665894994668757</v>
      </c>
      <c r="I59" s="158">
        <v>-10.267026446265104</v>
      </c>
      <c r="J59" s="158">
        <v>-7.747208247472937</v>
      </c>
      <c r="K59" s="178">
        <v>0.2252681819235436</v>
      </c>
      <c r="L59" s="104"/>
    </row>
    <row r="60" spans="1:12" ht="11.25">
      <c r="A60" s="104"/>
      <c r="B60" s="115" t="s">
        <v>145</v>
      </c>
      <c r="C60" s="157">
        <v>748.52889164</v>
      </c>
      <c r="D60" s="157">
        <v>583.15293917</v>
      </c>
      <c r="E60" s="157">
        <v>576.03626789</v>
      </c>
      <c r="F60" s="157">
        <v>-7.116671279999991</v>
      </c>
      <c r="G60" s="157">
        <v>-172.49262375</v>
      </c>
      <c r="H60" s="158">
        <v>-1.2203781893184198</v>
      </c>
      <c r="I60" s="158">
        <v>34.30984012939684</v>
      </c>
      <c r="J60" s="158">
        <v>-40.05122983792023</v>
      </c>
      <c r="K60" s="178">
        <v>-23.044217220804242</v>
      </c>
      <c r="L60" s="104"/>
    </row>
    <row r="61" spans="1:12" ht="11.25">
      <c r="A61" s="104"/>
      <c r="B61" s="115" t="s">
        <v>117</v>
      </c>
      <c r="C61" s="157">
        <v>3.9009582443606554</v>
      </c>
      <c r="D61" s="157">
        <v>3.93</v>
      </c>
      <c r="E61" s="157">
        <v>3.93</v>
      </c>
      <c r="F61" s="157">
        <v>0</v>
      </c>
      <c r="G61" s="157">
        <v>0.029041755639344746</v>
      </c>
      <c r="H61" s="158">
        <v>0</v>
      </c>
      <c r="I61" s="158">
        <v>0.7444774801506293</v>
      </c>
      <c r="J61" s="158">
        <v>0.12991166949594124</v>
      </c>
      <c r="K61" s="178">
        <v>0.7444774801506293</v>
      </c>
      <c r="L61" s="104"/>
    </row>
    <row r="62" spans="1:12" ht="11.25">
      <c r="A62" s="104"/>
      <c r="B62" s="115" t="s">
        <v>118</v>
      </c>
      <c r="C62" s="157">
        <v>6796.317800889177</v>
      </c>
      <c r="D62" s="157">
        <v>10466.349483799999</v>
      </c>
      <c r="E62" s="157">
        <v>10579.884577499999</v>
      </c>
      <c r="F62" s="157">
        <v>113.53509370000029</v>
      </c>
      <c r="G62" s="157">
        <v>3783.5667766108218</v>
      </c>
      <c r="H62" s="158">
        <v>1.084763067349623</v>
      </c>
      <c r="I62" s="158">
        <v>62.115652751027554</v>
      </c>
      <c r="J62" s="158">
        <v>72.70547309271227</v>
      </c>
      <c r="K62" s="178">
        <v>55.67083364047234</v>
      </c>
      <c r="L62" s="104"/>
    </row>
    <row r="63" spans="1:12" ht="11.25">
      <c r="A63" s="104"/>
      <c r="B63" s="115" t="s">
        <v>93</v>
      </c>
      <c r="C63" s="157">
        <v>683.1698398485378</v>
      </c>
      <c r="D63" s="157">
        <v>1365.47263623</v>
      </c>
      <c r="E63" s="157">
        <v>1456.6663952899999</v>
      </c>
      <c r="F63" s="157">
        <v>91.19375905999982</v>
      </c>
      <c r="G63" s="157">
        <v>773.4965554414621</v>
      </c>
      <c r="H63" s="158">
        <v>6.678548997640927</v>
      </c>
      <c r="I63" s="158">
        <v>99.56127206624726</v>
      </c>
      <c r="J63" s="158">
        <v>153.11980201062175</v>
      </c>
      <c r="K63" s="178">
        <v>113.22170715454156</v>
      </c>
      <c r="L63" s="104"/>
    </row>
    <row r="64" spans="1:12" ht="11.25">
      <c r="A64" s="104"/>
      <c r="B64" s="115" t="s">
        <v>94</v>
      </c>
      <c r="C64" s="157">
        <v>389.03744864000004</v>
      </c>
      <c r="D64" s="157">
        <v>34.51688224</v>
      </c>
      <c r="E64" s="157">
        <v>34.71963529</v>
      </c>
      <c r="F64" s="157">
        <v>0.20275304999999832</v>
      </c>
      <c r="G64" s="157">
        <v>-354.31781335000005</v>
      </c>
      <c r="H64" s="158">
        <v>0.5874025602608954</v>
      </c>
      <c r="I64" s="158">
        <v>-85.19004136234145</v>
      </c>
      <c r="J64" s="158">
        <v>-91.64692247219882</v>
      </c>
      <c r="K64" s="178">
        <v>-91.07550303669399</v>
      </c>
      <c r="L64" s="104"/>
    </row>
    <row r="65" spans="1:12" ht="11.25">
      <c r="A65" s="104"/>
      <c r="B65" s="115" t="s">
        <v>65</v>
      </c>
      <c r="C65" s="157">
        <v>8.03541087</v>
      </c>
      <c r="D65" s="157">
        <v>5.77343062</v>
      </c>
      <c r="E65" s="157">
        <v>5.77343062</v>
      </c>
      <c r="F65" s="157">
        <v>0</v>
      </c>
      <c r="G65" s="157">
        <v>-2.2619802499999997</v>
      </c>
      <c r="H65" s="158">
        <v>0</v>
      </c>
      <c r="I65" s="158">
        <v>-28.150150460196688</v>
      </c>
      <c r="J65" s="158">
        <v>-15.877583722808208</v>
      </c>
      <c r="K65" s="178">
        <v>-28.150150460196688</v>
      </c>
      <c r="L65" s="104"/>
    </row>
    <row r="66" spans="1:12" ht="11.25">
      <c r="A66" s="104"/>
      <c r="B66" s="115" t="s">
        <v>146</v>
      </c>
      <c r="C66" s="157">
        <v>0</v>
      </c>
      <c r="D66" s="157">
        <v>0</v>
      </c>
      <c r="E66" s="157">
        <v>0</v>
      </c>
      <c r="F66" s="157">
        <v>0</v>
      </c>
      <c r="G66" s="157">
        <v>0</v>
      </c>
      <c r="H66" s="158">
        <v>0</v>
      </c>
      <c r="I66" s="158">
        <v>0</v>
      </c>
      <c r="J66" s="158">
        <v>0</v>
      </c>
      <c r="K66" s="178">
        <v>0</v>
      </c>
      <c r="L66" s="104"/>
    </row>
    <row r="67" spans="1:12" ht="11.25">
      <c r="A67" s="104"/>
      <c r="B67" s="115" t="s">
        <v>147</v>
      </c>
      <c r="C67" s="157">
        <v>6027.5196116933985</v>
      </c>
      <c r="D67" s="157">
        <v>6508.133344782245</v>
      </c>
      <c r="E67" s="157">
        <v>6568.542054799682</v>
      </c>
      <c r="F67" s="157">
        <v>60.40871001743653</v>
      </c>
      <c r="G67" s="157">
        <v>541.0224431062834</v>
      </c>
      <c r="H67" s="158">
        <v>0.9282033237052204</v>
      </c>
      <c r="I67" s="158">
        <v>7.485469978922232</v>
      </c>
      <c r="J67" s="158">
        <v>12.709181329522568</v>
      </c>
      <c r="K67" s="178">
        <v>8.97587196658305</v>
      </c>
      <c r="L67" s="104"/>
    </row>
    <row r="68" spans="1:12" ht="11.25">
      <c r="A68" s="104"/>
      <c r="B68" s="115" t="s">
        <v>95</v>
      </c>
      <c r="C68" s="157">
        <v>2223.6755152366013</v>
      </c>
      <c r="D68" s="157">
        <v>2785.9396204513805</v>
      </c>
      <c r="E68" s="157">
        <v>2721.837291448783</v>
      </c>
      <c r="F68" s="157">
        <v>-64.10232900259734</v>
      </c>
      <c r="G68" s="157">
        <v>498.16177621218185</v>
      </c>
      <c r="H68" s="158">
        <v>-2.3009231259725373</v>
      </c>
      <c r="I68" s="158">
        <v>38.52347585527893</v>
      </c>
      <c r="J68" s="158">
        <v>33.2073615197765</v>
      </c>
      <c r="K68" s="178">
        <v>22.40262901663406</v>
      </c>
      <c r="L68" s="104"/>
    </row>
    <row r="69" spans="1:12" ht="11.25" customHeight="1" hidden="1">
      <c r="A69" s="104"/>
      <c r="B69" s="115" t="s">
        <v>96</v>
      </c>
      <c r="C69" s="157">
        <v>68.26412364849311</v>
      </c>
      <c r="D69" s="157">
        <v>-744.0843312999999</v>
      </c>
      <c r="E69" s="157">
        <v>-1290.2483166720376</v>
      </c>
      <c r="F69" s="157">
        <v>-546.1639853720377</v>
      </c>
      <c r="G69" s="157">
        <v>744.0843312999999</v>
      </c>
      <c r="H69" s="158">
        <v>73.40081794463097</v>
      </c>
      <c r="I69" s="158">
        <v>20707.306182645254</v>
      </c>
      <c r="J69" s="158">
        <v>52295.97419007985</v>
      </c>
      <c r="K69" s="178">
        <v>-1990.0825905505037</v>
      </c>
      <c r="L69" s="104"/>
    </row>
    <row r="70" spans="1:12" ht="12" customHeight="1" hidden="1">
      <c r="A70" s="104"/>
      <c r="B70" s="115" t="s">
        <v>96</v>
      </c>
      <c r="C70" s="148"/>
      <c r="D70" s="148"/>
      <c r="E70" s="148"/>
      <c r="F70" s="148"/>
      <c r="G70" s="148"/>
      <c r="H70" s="148"/>
      <c r="I70" s="148"/>
      <c r="J70" s="148"/>
      <c r="K70" s="179"/>
      <c r="L70" s="104"/>
    </row>
    <row r="71" spans="1:12" ht="12" customHeight="1" hidden="1" thickBot="1">
      <c r="A71" s="104"/>
      <c r="B71" s="120"/>
      <c r="C71" s="149">
        <v>0.0013706425015698187</v>
      </c>
      <c r="D71" s="149">
        <v>0.007801985208061524</v>
      </c>
      <c r="E71" s="149">
        <v>0.0072567852039355785</v>
      </c>
      <c r="F71" s="149">
        <v>-0.0005452000041259453</v>
      </c>
      <c r="G71" s="149">
        <v>0.00588614270236576</v>
      </c>
      <c r="H71" s="149">
        <v>-1.3766133739601116E-06</v>
      </c>
      <c r="I71" s="149">
        <v>-0.0069560908547927625</v>
      </c>
      <c r="J71" s="149">
        <v>-0.007063931087602171</v>
      </c>
      <c r="K71" s="180">
        <v>-0.0067223179045292625</v>
      </c>
      <c r="L71" s="104"/>
    </row>
    <row r="72" spans="1:12" ht="12" customHeight="1" hidden="1">
      <c r="A72" s="104"/>
      <c r="B72" s="120"/>
      <c r="C72" s="56"/>
      <c r="D72" s="56"/>
      <c r="E72" s="56"/>
      <c r="F72" s="56"/>
      <c r="G72" s="38"/>
      <c r="H72" s="38"/>
      <c r="I72" s="38"/>
      <c r="J72" s="38"/>
      <c r="K72" s="74"/>
      <c r="L72" s="104"/>
    </row>
    <row r="73" spans="1:12" ht="12" customHeight="1" thickBot="1">
      <c r="A73" s="104"/>
      <c r="B73" s="121"/>
      <c r="C73" s="122"/>
      <c r="D73" s="122"/>
      <c r="E73" s="122"/>
      <c r="F73" s="122"/>
      <c r="G73" s="40"/>
      <c r="H73" s="40"/>
      <c r="I73" s="40"/>
      <c r="J73" s="40"/>
      <c r="K73" s="78"/>
      <c r="L73" s="104"/>
    </row>
    <row r="74" ht="11.25">
      <c r="B74" s="55"/>
    </row>
    <row r="75" spans="2:10" ht="11.25">
      <c r="B75" s="53"/>
      <c r="E75" s="191"/>
      <c r="J75" t="s">
        <v>119</v>
      </c>
    </row>
    <row r="76" ht="12" thickBot="1">
      <c r="B76" s="53"/>
    </row>
    <row r="77" spans="2:12" ht="11.25">
      <c r="B77" s="318" t="s">
        <v>75</v>
      </c>
      <c r="C77" s="319"/>
      <c r="D77" s="319"/>
      <c r="E77" s="319"/>
      <c r="F77" s="319"/>
      <c r="G77" s="319"/>
      <c r="H77" s="319"/>
      <c r="I77" s="319"/>
      <c r="J77" s="319"/>
      <c r="K77" s="320"/>
      <c r="L77" s="104"/>
    </row>
    <row r="78" spans="2:12" ht="12" thickBot="1">
      <c r="B78" s="323" t="s">
        <v>114</v>
      </c>
      <c r="C78" s="324"/>
      <c r="D78" s="324"/>
      <c r="E78" s="324"/>
      <c r="F78" s="324"/>
      <c r="G78" s="324"/>
      <c r="H78" s="324"/>
      <c r="I78" s="324"/>
      <c r="J78" s="324"/>
      <c r="K78" s="325"/>
      <c r="L78" s="104"/>
    </row>
    <row r="79" spans="2:12" ht="11.25">
      <c r="B79" s="106"/>
      <c r="C79" s="105"/>
      <c r="D79" s="43"/>
      <c r="E79" s="105"/>
      <c r="F79" s="302" t="s">
        <v>107</v>
      </c>
      <c r="G79" s="304"/>
      <c r="H79" s="125" t="s">
        <v>124</v>
      </c>
      <c r="I79" s="302" t="s">
        <v>127</v>
      </c>
      <c r="J79" s="316"/>
      <c r="K79" s="317"/>
      <c r="L79" s="104"/>
    </row>
    <row r="80" spans="2:11" ht="11.25">
      <c r="B80" s="107"/>
      <c r="C80" s="12">
        <f>C33</f>
        <v>39873</v>
      </c>
      <c r="D80" s="68">
        <f>D33</f>
        <v>40210</v>
      </c>
      <c r="E80" s="12">
        <f>E33</f>
        <v>40238</v>
      </c>
      <c r="F80" s="12" t="s">
        <v>110</v>
      </c>
      <c r="G80" s="59" t="s">
        <v>109</v>
      </c>
      <c r="H80" s="59" t="s">
        <v>128</v>
      </c>
      <c r="I80" s="12">
        <f>I33</f>
        <v>40179</v>
      </c>
      <c r="J80" s="12">
        <f>J33</f>
        <v>40210</v>
      </c>
      <c r="K80" s="171">
        <f>K33</f>
        <v>40238</v>
      </c>
    </row>
    <row r="81" spans="2:14" ht="11.25">
      <c r="B81" s="73" t="s">
        <v>53</v>
      </c>
      <c r="C81" s="159">
        <v>49560.85955886652</v>
      </c>
      <c r="D81" s="159">
        <v>55240.202784253626</v>
      </c>
      <c r="E81" s="159">
        <v>55776.32569982642</v>
      </c>
      <c r="F81" s="159">
        <v>536.1229155727924</v>
      </c>
      <c r="G81" s="159">
        <v>6215.466140959899</v>
      </c>
      <c r="H81" s="160">
        <v>0.9705303176866971</v>
      </c>
      <c r="I81" s="160">
        <v>13.002031503924094</v>
      </c>
      <c r="J81" s="160">
        <v>15.528801256737612</v>
      </c>
      <c r="K81" s="181">
        <v>12.541078173951782</v>
      </c>
      <c r="L81" s="54"/>
      <c r="M81" s="54"/>
      <c r="N81" s="54"/>
    </row>
    <row r="82" spans="2:14" ht="11.25">
      <c r="B82" s="73" t="s">
        <v>1</v>
      </c>
      <c r="C82" s="159">
        <v>15323.461629775053</v>
      </c>
      <c r="D82" s="159">
        <v>18283.490339990003</v>
      </c>
      <c r="E82" s="159">
        <v>16634.893592155</v>
      </c>
      <c r="F82" s="159">
        <v>-1648.596747835003</v>
      </c>
      <c r="G82" s="159">
        <v>1311.4319623799474</v>
      </c>
      <c r="H82" s="160">
        <v>-9.016860113570111</v>
      </c>
      <c r="I82" s="160">
        <v>24.627913920975764</v>
      </c>
      <c r="J82" s="160">
        <v>19.21280642473342</v>
      </c>
      <c r="K82" s="181">
        <v>8.558327054715242</v>
      </c>
      <c r="L82" s="54"/>
      <c r="M82" s="54"/>
      <c r="N82" s="54"/>
    </row>
    <row r="83" spans="2:11" ht="11.25">
      <c r="B83" s="73" t="s">
        <v>72</v>
      </c>
      <c r="C83" s="159">
        <v>31721.580550101462</v>
      </c>
      <c r="D83" s="159">
        <v>33727.36348329056</v>
      </c>
      <c r="E83" s="159">
        <v>35614.097517095026</v>
      </c>
      <c r="F83" s="159">
        <v>1886.734033804467</v>
      </c>
      <c r="G83" s="159">
        <v>3892.516966993564</v>
      </c>
      <c r="H83" s="160">
        <v>5.5940750742026</v>
      </c>
      <c r="I83" s="160">
        <v>6.596131112894943</v>
      </c>
      <c r="J83" s="160">
        <v>12.259560740078435</v>
      </c>
      <c r="K83" s="181">
        <v>12.270879633017252</v>
      </c>
    </row>
    <row r="84" spans="2:11" ht="11.25">
      <c r="B84" s="75" t="s">
        <v>148</v>
      </c>
      <c r="C84" s="161">
        <v>-5542.586960018538</v>
      </c>
      <c r="D84" s="161">
        <v>-5985.224757806302</v>
      </c>
      <c r="E84" s="161">
        <v>-4098.1300818663</v>
      </c>
      <c r="F84" s="161">
        <v>1887.0946759400013</v>
      </c>
      <c r="G84" s="161">
        <v>1444.4568781522376</v>
      </c>
      <c r="H84" s="162">
        <v>-31.5292199090558</v>
      </c>
      <c r="I84" s="162">
        <v>25.911817924175207</v>
      </c>
      <c r="J84" s="162">
        <v>-10.58820421287161</v>
      </c>
      <c r="K84" s="182">
        <v>-26.061059367617144</v>
      </c>
    </row>
    <row r="85" spans="2:11" ht="11.25">
      <c r="B85" s="75" t="s">
        <v>149</v>
      </c>
      <c r="C85" s="161">
        <v>37264.16751012</v>
      </c>
      <c r="D85" s="161">
        <v>39712.58824109686</v>
      </c>
      <c r="E85" s="161">
        <v>39712.227598961326</v>
      </c>
      <c r="F85" s="161">
        <v>-0.36064213553618174</v>
      </c>
      <c r="G85" s="161">
        <v>2448.0600888413246</v>
      </c>
      <c r="H85" s="162">
        <v>-0.0009081305236181221</v>
      </c>
      <c r="I85" s="162">
        <v>9.047967837341098</v>
      </c>
      <c r="J85" s="162">
        <v>8.096499440239246</v>
      </c>
      <c r="K85" s="182">
        <v>6.569474786137364</v>
      </c>
    </row>
    <row r="86" spans="2:11" ht="11.25">
      <c r="B86" s="186" t="s">
        <v>47</v>
      </c>
      <c r="C86" s="161">
        <v>2667.4493241399996</v>
      </c>
      <c r="D86" s="161">
        <v>2798.83484712</v>
      </c>
      <c r="E86" s="161">
        <v>2858.3061544800003</v>
      </c>
      <c r="F86" s="161">
        <v>59.47130736000008</v>
      </c>
      <c r="G86" s="161">
        <v>190.85683034000067</v>
      </c>
      <c r="H86" s="162">
        <v>2.1248594721905807</v>
      </c>
      <c r="I86" s="162">
        <v>5.76423183716388</v>
      </c>
      <c r="J86" s="162">
        <v>11.058649438031454</v>
      </c>
      <c r="K86" s="182">
        <v>7.155031160771319</v>
      </c>
    </row>
    <row r="87" spans="2:11" ht="11.25">
      <c r="B87" s="186" t="s">
        <v>134</v>
      </c>
      <c r="C87" s="161">
        <v>76.56268824000001</v>
      </c>
      <c r="D87" s="161">
        <v>70.72793197000001</v>
      </c>
      <c r="E87" s="161">
        <v>24.46339872</v>
      </c>
      <c r="F87" s="161">
        <v>-46.264533250000014</v>
      </c>
      <c r="G87" s="161">
        <v>-52.09928952000001</v>
      </c>
      <c r="H87" s="162">
        <v>-65.41196944599426</v>
      </c>
      <c r="I87" s="162">
        <v>4.913503034832378</v>
      </c>
      <c r="J87" s="162">
        <v>-9.59327857315011</v>
      </c>
      <c r="K87" s="182">
        <v>-68.0478843123756</v>
      </c>
    </row>
    <row r="88" spans="2:11" ht="11.25">
      <c r="B88" s="186" t="s">
        <v>136</v>
      </c>
      <c r="C88" s="161">
        <v>476.12438514</v>
      </c>
      <c r="D88" s="161">
        <v>414.83191901</v>
      </c>
      <c r="E88" s="161">
        <v>458.34449555</v>
      </c>
      <c r="F88" s="161">
        <v>43.51257654</v>
      </c>
      <c r="G88" s="161">
        <v>-17.77988959000004</v>
      </c>
      <c r="H88" s="162">
        <v>10.489206482433449</v>
      </c>
      <c r="I88" s="162">
        <v>-23.82733770670361</v>
      </c>
      <c r="J88" s="162">
        <v>-20.85419560317098</v>
      </c>
      <c r="K88" s="182">
        <v>-3.7342951012206638</v>
      </c>
    </row>
    <row r="89" spans="2:11" ht="11.25">
      <c r="B89" s="186" t="s">
        <v>123</v>
      </c>
      <c r="C89" s="161">
        <v>11724.15125094</v>
      </c>
      <c r="D89" s="161">
        <v>13041.819337406861</v>
      </c>
      <c r="E89" s="161">
        <v>12850.96305547133</v>
      </c>
      <c r="F89" s="161">
        <v>-190.85628193553202</v>
      </c>
      <c r="G89" s="161">
        <v>1126.8118045313295</v>
      </c>
      <c r="H89" s="162">
        <v>-1.4634176183388266</v>
      </c>
      <c r="I89" s="162">
        <v>17.978843686100788</v>
      </c>
      <c r="J89" s="162">
        <v>11.552392291899816</v>
      </c>
      <c r="K89" s="182">
        <v>9.611030942994581</v>
      </c>
    </row>
    <row r="90" spans="2:11" ht="11.25">
      <c r="B90" s="186" t="s">
        <v>48</v>
      </c>
      <c r="C90" s="161">
        <v>22315.02686166</v>
      </c>
      <c r="D90" s="161">
        <v>23383.99920559</v>
      </c>
      <c r="E90" s="161">
        <v>23517.77549474</v>
      </c>
      <c r="F90" s="161">
        <v>133.77628914999877</v>
      </c>
      <c r="G90" s="161">
        <v>1202.7486330799984</v>
      </c>
      <c r="H90" s="162">
        <v>0.5720847318452664</v>
      </c>
      <c r="I90" s="162">
        <v>5.886058519839588</v>
      </c>
      <c r="J90" s="162">
        <v>6.681164572900711</v>
      </c>
      <c r="K90" s="182">
        <v>5.389859669613362</v>
      </c>
    </row>
    <row r="91" spans="2:11" ht="11.25">
      <c r="B91" s="186" t="s">
        <v>132</v>
      </c>
      <c r="C91" s="161">
        <v>4.853</v>
      </c>
      <c r="D91" s="161">
        <v>2.375</v>
      </c>
      <c r="E91" s="161">
        <v>2.375</v>
      </c>
      <c r="F91" s="161">
        <v>0</v>
      </c>
      <c r="G91" s="161">
        <v>-2.4779999999999998</v>
      </c>
      <c r="H91" s="162">
        <v>0</v>
      </c>
      <c r="I91" s="162">
        <v>-51.06119925819081</v>
      </c>
      <c r="J91" s="162">
        <v>-51.06119925819081</v>
      </c>
      <c r="K91" s="182">
        <v>-51.06119925819081</v>
      </c>
    </row>
    <row r="92" spans="2:14" ht="11.25">
      <c r="B92" s="72" t="s">
        <v>143</v>
      </c>
      <c r="C92" s="161">
        <v>2515.81737899</v>
      </c>
      <c r="D92" s="161">
        <v>3229.348960973066</v>
      </c>
      <c r="E92" s="161">
        <v>3527.334590576396</v>
      </c>
      <c r="F92" s="161">
        <v>297.9856296033299</v>
      </c>
      <c r="G92" s="161">
        <v>1011.5172115863957</v>
      </c>
      <c r="H92" s="162">
        <v>9.227421167687652</v>
      </c>
      <c r="I92" s="162">
        <v>30.929416882787407</v>
      </c>
      <c r="J92" s="162">
        <v>32.66837640423932</v>
      </c>
      <c r="K92" s="182">
        <v>40.20630511712575</v>
      </c>
      <c r="L92" s="54"/>
      <c r="M92" s="54"/>
      <c r="N92" s="54"/>
    </row>
    <row r="93" spans="2:11" ht="11.25">
      <c r="B93" s="72"/>
      <c r="C93" s="161"/>
      <c r="D93" s="161"/>
      <c r="E93" s="161"/>
      <c r="F93" s="159"/>
      <c r="G93" s="159"/>
      <c r="H93" s="160"/>
      <c r="I93" s="160"/>
      <c r="J93" s="160"/>
      <c r="K93" s="181"/>
    </row>
    <row r="94" spans="2:14" ht="11.25">
      <c r="B94" s="73" t="s">
        <v>59</v>
      </c>
      <c r="C94" s="159">
        <v>49560.88204900903</v>
      </c>
      <c r="D94" s="159">
        <v>55240.22862598883</v>
      </c>
      <c r="E94" s="159">
        <v>55776.31007861162</v>
      </c>
      <c r="F94" s="159">
        <v>536.0814526227914</v>
      </c>
      <c r="G94" s="159">
        <v>6215.42802960259</v>
      </c>
      <c r="H94" s="160">
        <v>0.9704548043282022</v>
      </c>
      <c r="I94" s="160">
        <v>13.00216283762401</v>
      </c>
      <c r="J94" s="160">
        <v>15.528906104947682</v>
      </c>
      <c r="K94" s="181">
        <v>12.54099558489774</v>
      </c>
      <c r="L94" s="54"/>
      <c r="M94" s="54"/>
      <c r="N94" s="54"/>
    </row>
    <row r="95" spans="2:11" ht="11.25">
      <c r="B95" s="73" t="s">
        <v>73</v>
      </c>
      <c r="C95" s="159">
        <v>30173.598115635068</v>
      </c>
      <c r="D95" s="159">
        <v>31742.724793915208</v>
      </c>
      <c r="E95" s="159">
        <v>33214.272639465205</v>
      </c>
      <c r="F95" s="159">
        <v>1471.5478455499979</v>
      </c>
      <c r="G95" s="159">
        <v>3040.6745238301373</v>
      </c>
      <c r="H95" s="160">
        <v>4.635858626201114</v>
      </c>
      <c r="I95" s="160">
        <v>5.925217492896051</v>
      </c>
      <c r="J95" s="160">
        <v>7.793790404529566</v>
      </c>
      <c r="K95" s="181">
        <v>10.077268584864418</v>
      </c>
    </row>
    <row r="96" spans="2:11" ht="11.25">
      <c r="B96" s="75" t="s">
        <v>150</v>
      </c>
      <c r="C96" s="161">
        <v>1227.89744506</v>
      </c>
      <c r="D96" s="161">
        <v>1117.61768683</v>
      </c>
      <c r="E96" s="161">
        <v>1053.0037609300002</v>
      </c>
      <c r="F96" s="161">
        <v>-64.61392589999969</v>
      </c>
      <c r="G96" s="161">
        <v>-174.89368412999988</v>
      </c>
      <c r="H96" s="162">
        <v>-5.781397937900393</v>
      </c>
      <c r="I96" s="162">
        <v>1.4244346209796754</v>
      </c>
      <c r="J96" s="162">
        <v>-9.490817380199168</v>
      </c>
      <c r="K96" s="182">
        <v>-14.243346204002716</v>
      </c>
    </row>
    <row r="97" spans="2:11" ht="11.25">
      <c r="B97" s="75" t="s">
        <v>151</v>
      </c>
      <c r="C97" s="161">
        <v>18715.12685378043</v>
      </c>
      <c r="D97" s="161">
        <v>21012.00418533521</v>
      </c>
      <c r="E97" s="161">
        <v>21907.628579965207</v>
      </c>
      <c r="F97" s="161">
        <v>895.6243946299983</v>
      </c>
      <c r="G97" s="161">
        <v>3192.501726184775</v>
      </c>
      <c r="H97" s="162">
        <v>4.262441539275327</v>
      </c>
      <c r="I97" s="162">
        <v>13.234804687318814</v>
      </c>
      <c r="J97" s="162">
        <v>18.092941150265716</v>
      </c>
      <c r="K97" s="182">
        <v>17.058402815687536</v>
      </c>
    </row>
    <row r="98" spans="2:13" ht="11.25">
      <c r="B98" s="75" t="s">
        <v>152</v>
      </c>
      <c r="C98" s="161">
        <v>10226.672858550273</v>
      </c>
      <c r="D98" s="161">
        <v>9609.17292175</v>
      </c>
      <c r="E98" s="161">
        <v>10249.710298569998</v>
      </c>
      <c r="F98" s="161">
        <v>640.5373768199988</v>
      </c>
      <c r="G98" s="161">
        <v>23.03744001972518</v>
      </c>
      <c r="H98" s="162">
        <v>6.665894994668757</v>
      </c>
      <c r="I98" s="162">
        <v>-5.612747070461877</v>
      </c>
      <c r="J98" s="162">
        <v>-7.747208247472937</v>
      </c>
      <c r="K98" s="182">
        <v>0.2252681819235436</v>
      </c>
      <c r="L98" s="54"/>
      <c r="M98" s="54"/>
    </row>
    <row r="99" spans="2:11" ht="11.25">
      <c r="B99" s="75" t="s">
        <v>105</v>
      </c>
      <c r="C99" s="161">
        <v>3.9009582443606554</v>
      </c>
      <c r="D99" s="161">
        <v>3.93</v>
      </c>
      <c r="E99" s="161">
        <v>3.93</v>
      </c>
      <c r="F99" s="161">
        <v>0</v>
      </c>
      <c r="G99" s="161">
        <v>0.029041755639344746</v>
      </c>
      <c r="H99" s="162">
        <v>0</v>
      </c>
      <c r="I99" s="162">
        <v>0.9388507475641239</v>
      </c>
      <c r="J99" s="162">
        <v>0.12991166949594124</v>
      </c>
      <c r="K99" s="182">
        <v>0.7444774801506293</v>
      </c>
    </row>
    <row r="100" spans="2:14" ht="11.25">
      <c r="B100" s="72" t="s">
        <v>153</v>
      </c>
      <c r="C100" s="161">
        <v>19391.184891618323</v>
      </c>
      <c r="D100" s="161">
        <v>23501.43383207362</v>
      </c>
      <c r="E100" s="161">
        <v>22565.967439146418</v>
      </c>
      <c r="F100" s="161">
        <v>-935.4663929272028</v>
      </c>
      <c r="G100" s="161">
        <v>3174.782547528095</v>
      </c>
      <c r="H100" s="162">
        <v>-3.980465190385633</v>
      </c>
      <c r="I100" s="162">
        <v>24.064741529865664</v>
      </c>
      <c r="J100" s="162">
        <v>27.92431203299015</v>
      </c>
      <c r="K100" s="182">
        <v>16.37229785220793</v>
      </c>
      <c r="N100" s="54"/>
    </row>
    <row r="101" spans="2:11" ht="12" thickBot="1">
      <c r="B101" s="123"/>
      <c r="C101" s="168"/>
      <c r="D101" s="168"/>
      <c r="E101" s="168"/>
      <c r="F101" s="169"/>
      <c r="G101" s="169"/>
      <c r="H101" s="170"/>
      <c r="I101" s="170"/>
      <c r="J101" s="170"/>
      <c r="K101" s="183"/>
    </row>
    <row r="102" spans="2:13" ht="12" customHeight="1" hidden="1" thickBot="1">
      <c r="B102" s="39" t="s">
        <v>74</v>
      </c>
      <c r="C102" s="163">
        <v>-0.022490142509923317</v>
      </c>
      <c r="D102" s="163">
        <v>-0.02584173520153854</v>
      </c>
      <c r="E102" s="163">
        <v>0.015621214792190585</v>
      </c>
      <c r="F102" s="163">
        <v>0.041462949993729126</v>
      </c>
      <c r="G102" s="163">
        <v>0.0381113573021139</v>
      </c>
      <c r="H102" s="163">
        <v>7.55133584816603E-05</v>
      </c>
      <c r="I102" s="163">
        <v>-0.00013133369991535915</v>
      </c>
      <c r="J102" s="163">
        <v>-0.00010484821009271172</v>
      </c>
      <c r="K102" s="163">
        <v>8.258905404190386E-05</v>
      </c>
      <c r="L102" s="54"/>
      <c r="M102" s="54"/>
    </row>
    <row r="103" spans="2:11" ht="11.2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12"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  <mergeCell ref="B31:K31"/>
    <mergeCell ref="F4:G4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ham442</cp:lastModifiedBy>
  <cp:lastPrinted>2010-05-06T13:04:07Z</cp:lastPrinted>
  <dcterms:created xsi:type="dcterms:W3CDTF">1999-07-02T10:21:54Z</dcterms:created>
  <dcterms:modified xsi:type="dcterms:W3CDTF">2010-05-06T13:17:53Z</dcterms:modified>
  <cp:category/>
  <cp:version/>
  <cp:contentType/>
  <cp:contentStatus/>
</cp:coreProperties>
</file>