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9585" windowHeight="5730" tabRatio="616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'S2'!$A$4:$Q$82</definedName>
    <definedName name="_xlnm.Print_Area" localSheetId="3">'S3'!$A$2:$R$96</definedName>
    <definedName name="_xlnm.Print_Area" localSheetId="4">'S4'!$A$1:$C$88</definedName>
    <definedName name="_xlnm.Print_Area" localSheetId="5">'S5'!$A$4:$P$84</definedName>
    <definedName name="_xlnm.Print_Area" localSheetId="6">'S6'!$B$2:$BZ$22</definedName>
    <definedName name="_xlnm.Print_Area" localSheetId="7">'S7'!$A$4:$R$71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'S2'!$A$1:$L$34</definedName>
    <definedName name="Z_1119964D_FB32_11D4_9C51_0090277BCB1A_.wvu.PrintArea" localSheetId="4" hidden="1">'S4'!$A$2:$A$85</definedName>
    <definedName name="Z_1119964D_FB32_11D4_9C51_0090277BCB1A_.wvu.PrintArea" localSheetId="5" hidden="1">'S5'!$A$1:$J$58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'S2'!$A$1:$L$34</definedName>
    <definedName name="Z_4BE07961_847F_11D4_A83A_00D0B7747A8F_.wvu.PrintArea" localSheetId="4" hidden="1">'S4'!$A$2:$A$85</definedName>
    <definedName name="Z_4BE07961_847F_11D4_A83A_00D0B7747A8F_.wvu.PrintArea" localSheetId="5" hidden="1">'S5'!$A$1:$J$58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'S2'!$A$1:$L$34</definedName>
    <definedName name="Z_5050E6E2_8401_11D4_81A4_00608C91AED9_.wvu.PrintArea" localSheetId="4" hidden="1">'S4'!$A$2:$A$85</definedName>
    <definedName name="Z_5050E6E2_8401_11D4_81A4_00608C91AED9_.wvu.PrintArea" localSheetId="5" hidden="1">'S5'!$A$1:$J$58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<sst xmlns="http://schemas.openxmlformats.org/spreadsheetml/2006/main" count="256" uniqueCount="170">
  <si>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</si>
  <si>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</si>
  <si>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</si>
  <si>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</si>
  <si>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</si>
  <si>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</si>
  <si>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</si>
  <si>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</si>
  <si>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</si>
  <si>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</si>
  <si>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</si>
  <si>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</si>
  <si>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</si>
  <si>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</si>
  <si>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</si>
  <si>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</si>
  <si>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</si>
  <si>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</si>
  <si>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</si>
  <si>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</si>
  <si>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</si>
  <si>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</si>
  <si>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</si>
  <si>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</si>
  <si>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</si>
  <si>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</si>
  <si>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</si>
  <si>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</si>
  <si>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</si>
  <si>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</si>
  <si>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</si>
  <si>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</si>
  <si>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</si>
  <si>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</si>
  <si>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</si>
  <si>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</si>
  <si>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</si>
  <si>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</si>
  <si>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</si>
  <si>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</si>
  <si>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</si>
  <si>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</si>
  <si>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</si>
  <si>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</si>
  <si>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</si>
  <si>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</si>
  <si>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</si>
  <si>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</si>
  <si>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</si>
  <si>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</si>
  <si>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</si>
  <si>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</si>
  <si>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</si>
  <si>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</si>
  <si>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</si>
  <si>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</si>
  <si>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</si>
  <si>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</si>
  <si>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</si>
  <si>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</si>
  <si>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</si>
  <si>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</si>
  <si>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</si>
  <si>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</si>
  <si>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</si>
  <si>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</si>
  <si>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</si>
  <si>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</si>
  <si>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</si>
  <si>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</si>
  <si>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</si>
  <si>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</si>
  <si>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</si>
  <si>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</si>
  <si>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</si>
  <si>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</si>
  <si>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</si>
  <si>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</si>
  <si>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</si>
  <si>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</si>
  <si>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</si>
  <si>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</si>
  <si>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*Domestic Claims = Domestic Credit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</si>
  <si>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</si>
  <si>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</si>
  <si>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</si>
  <si>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</si>
  <si>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</si>
  <si>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</si>
  <si>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</si>
  <si>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</si>
  <si>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</si>
  <si>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</si>
  <si>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</si>
  <si>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</si>
  <si>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</si>
  <si>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</si>
  <si>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</si>
  <si>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</si>
  <si>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</si>
  <si>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</si>
  <si>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</si>
  <si>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</si>
  <si>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</si>
  <si>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</si>
  <si>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</si>
  <si>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</si>
  <si>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</si>
  <si>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</si>
  <si>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</si>
  <si>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</si>
  <si>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 xml:space="preserve">  Selected interest rates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</si>
  <si>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</si>
  <si>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</si>
  <si>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</si>
  <si>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</si>
  <si>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</si>
  <si>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</si>
  <si>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 xml:space="preserve"> Other Sectors Claims = Private Sector Credit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</si>
  <si>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</si>
  <si>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</si>
  <si>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</si>
  <si>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</si>
  <si>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</si>
  <si>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</si>
  <si>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</si>
  <si>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</si>
  <si>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</si>
  <si>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</si>
  <si>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 xml:space="preserve"> Other sectors claims = Private sector credit</t>
  </si>
  <si>
    <t>*Other sector = Private sector</t>
  </si>
  <si>
    <t>Claims on the *Other sectors  by the Other Depository Corporations (N$ million)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</si>
  <si>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</si>
  <si>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</si>
  <si>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</si>
  <si>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</si>
  <si>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</si>
  <si>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</si>
  <si>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</si>
  <si>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</si>
  <si>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 xml:space="preserve"> NSX indices</t>
  </si>
  <si>
    <t>Money and Banking Statistics*</t>
  </si>
  <si>
    <t>DevX</t>
  </si>
  <si>
    <t xml:space="preserve">    volume [000 shares]</t>
  </si>
  <si>
    <t>Domestic and other sectors claims (month-on-month percentage changes)</t>
  </si>
  <si>
    <t>Unclassified shares and other equity</t>
  </si>
  <si>
    <t>Claims on other sectors</t>
  </si>
  <si>
    <t>State and local government</t>
  </si>
  <si>
    <t xml:space="preserve">    U.S Dollar/Namibia Dollar exchange rate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</si>
  <si>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</si>
  <si>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</si>
  <si>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</si>
  <si>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</si>
  <si>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</si>
  <si>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</si>
  <si>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</si>
  <si>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</si>
  <si>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</si>
  <si>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</si>
  <si>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</si>
  <si>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</si>
  <si>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</si>
  <si>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</si>
  <si>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</si>
  <si>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</si>
  <si>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</si>
  <si>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</si>
  <si>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</si>
  <si>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</si>
  <si>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 xml:space="preserve">     BON's Net Foreign Assets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</si>
</sst>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[$€-2]\ #,##0.00_);[Red]\([$€-2]\ #,##0.00\)"/>
    <numFmt numFmtId="200" formatCode="[$-409]dddd\,\ mmmm\ dd\,\ yyyy"/>
    <numFmt numFmtId="201" formatCode="[$-409]mmm\-yy;@"/>
    <numFmt numFmtId="202" formatCode="[$-409]mmmm\-yy;@"/>
    <numFmt numFmtId="203" formatCode="[$-409]h:mm:ss\ AM/PM"/>
    <numFmt numFmtId="204" formatCode="[$-409]mmmm\ d\,\ yyyy;@"/>
    <numFmt numFmtId="205" formatCode="[$-409]d\-mmm\-yy;@"/>
    <numFmt numFmtId="206" formatCode="[$-409]mmmmm\-yy;@"/>
    <numFmt numFmtId="207" formatCode="[$-409]d\-mmm;@"/>
    <numFmt numFmtId="208" formatCode="#,##0.0_);\(#,##0.0\)"/>
    <numFmt numFmtId="209" formatCode="mmm\-yyyy"/>
    <numFmt numFmtId="210" formatCode="0.00_);\(0.00\)"/>
    <numFmt numFmtId="211" formatCode="0.000_);\(0.000\)"/>
    <numFmt numFmtId="212" formatCode="[$-1C09]dd\ mmmm\ yyyy"/>
    <numFmt numFmtId="213" formatCode="[$-1C09]dd\ mmmm\ yyyy;@"/>
    <numFmt numFmtId="214" formatCode="0.00_)"/>
    <numFmt numFmtId="215" formatCode="0.0_)"/>
    <numFmt numFmtId="216" formatCode="0_)"/>
    <numFmt numFmtId="217" formatCode="[$-409]dd\-mmm\-yy;@"/>
    <numFmt numFmtId="218" formatCode="m/d/yy;@"/>
    <numFmt numFmtId="219" formatCode="_-* #,##0.00_-;\-* #,##0.00_-;_-* &quot;-&quot;??_-;_-@_-"/>
    <numFmt numFmtId="220" formatCode="0_);\(0\)"/>
    <numFmt numFmtId="221" formatCode="#,##0.000_);\(#,##0.000\)"/>
    <numFmt numFmtId="222" formatCode="#,##0;[Red]#,##0"/>
    <numFmt numFmtId="223" formatCode="_(* #,##0.000_);_(* \(#,##0.000\);_(* &quot;-&quot;??_);_(@_)"/>
    <numFmt numFmtId="224" formatCode="_(* #,##0.0000_);_(* \(#,##0.0000\);_(* &quot;-&quot;??_);_(@_)"/>
    <numFmt numFmtId="225" formatCode="#,##0.0000"/>
    <numFmt numFmtId="226" formatCode="#,##0.00000"/>
    <numFmt numFmtId="227" formatCode="#,##0.000000"/>
  </numFmts>
  <fonts count="120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b/>
      <sz val="12.5"/>
      <color indexed="61"/>
      <name val="Arial"/>
      <family val="2"/>
    </font>
    <font>
      <sz val="12.5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sz val="10"/>
      <color indexed="25"/>
      <name val="Arial"/>
      <family val="0"/>
    </font>
    <font>
      <sz val="12"/>
      <color indexed="25"/>
      <name val="Arial"/>
      <family val="0"/>
    </font>
    <font>
      <sz val="11"/>
      <color indexed="25"/>
      <name val="Arial"/>
      <family val="0"/>
    </font>
    <font>
      <sz val="9"/>
      <color indexed="25"/>
      <name val="Arial"/>
      <family val="0"/>
    </font>
    <font>
      <sz val="8"/>
      <color indexed="25"/>
      <name val="Arial"/>
      <family val="0"/>
    </font>
    <font>
      <sz val="8"/>
      <color indexed="8"/>
      <name val="Arial"/>
      <family val="0"/>
    </font>
    <font>
      <sz val="12"/>
      <color indexed="16"/>
      <name val="Arial"/>
      <family val="0"/>
    </font>
    <font>
      <sz val="7.1"/>
      <color indexed="16"/>
      <name val="Arial"/>
      <family val="0"/>
    </font>
    <font>
      <sz val="14"/>
      <color indexed="16"/>
      <name val="Arial"/>
      <family val="0"/>
    </font>
    <font>
      <sz val="13.75"/>
      <color indexed="25"/>
      <name val="Arial"/>
      <family val="0"/>
    </font>
    <font>
      <sz val="6"/>
      <color indexed="25"/>
      <name val="Arial"/>
      <family val="0"/>
    </font>
    <font>
      <sz val="6.75"/>
      <color indexed="25"/>
      <name val="Arial"/>
      <family val="0"/>
    </font>
    <font>
      <sz val="10.5"/>
      <color indexed="25"/>
      <name val="Arial"/>
      <family val="0"/>
    </font>
    <font>
      <sz val="8.85"/>
      <color indexed="25"/>
      <name val="Arial"/>
      <family val="0"/>
    </font>
    <font>
      <sz val="8.5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b/>
      <sz val="16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11"/>
      <color rgb="FF993366"/>
      <name val="Arial"/>
      <family val="2"/>
    </font>
    <font>
      <sz val="8"/>
      <color rgb="FF993366"/>
      <name val="Arial"/>
      <family val="2"/>
    </font>
    <font>
      <sz val="9"/>
      <color rgb="FF993366"/>
      <name val="Univers"/>
      <family val="0"/>
    </font>
    <font>
      <sz val="8"/>
      <color rgb="FF993366"/>
      <name val="Univers"/>
      <family val="0"/>
    </font>
    <font>
      <b/>
      <sz val="16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91" fontId="13" fillId="33" borderId="1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191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91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91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184" fontId="28" fillId="0" borderId="0" xfId="0" applyNumberFormat="1" applyFont="1" applyFill="1" applyBorder="1" applyAlignment="1">
      <alignment/>
    </xf>
    <xf numFmtId="201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84" fontId="9" fillId="35" borderId="15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4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84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91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91" fontId="38" fillId="35" borderId="15" xfId="0" applyNumberFormat="1" applyFont="1" applyFill="1" applyBorder="1" applyAlignment="1">
      <alignment horizontal="center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right"/>
    </xf>
    <xf numFmtId="184" fontId="38" fillId="35" borderId="21" xfId="0" applyNumberFormat="1" applyFont="1" applyFill="1" applyBorder="1" applyAlignment="1">
      <alignment/>
    </xf>
    <xf numFmtId="184" fontId="38" fillId="35" borderId="21" xfId="0" applyNumberFormat="1" applyFont="1" applyFill="1" applyBorder="1" applyAlignment="1">
      <alignment horizontal="right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center"/>
    </xf>
    <xf numFmtId="184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8" fontId="38" fillId="35" borderId="15" xfId="0" applyNumberFormat="1" applyFont="1" applyFill="1" applyBorder="1" applyAlignment="1">
      <alignment/>
    </xf>
    <xf numFmtId="188" fontId="38" fillId="35" borderId="15" xfId="0" applyNumberFormat="1" applyFont="1" applyFill="1" applyBorder="1" applyAlignment="1">
      <alignment horizontal="center"/>
    </xf>
    <xf numFmtId="188" fontId="38" fillId="35" borderId="15" xfId="0" applyNumberFormat="1" applyFont="1" applyFill="1" applyBorder="1" applyAlignment="1">
      <alignment horizontal="right"/>
    </xf>
    <xf numFmtId="188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91" fontId="4" fillId="0" borderId="2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184" fontId="9" fillId="35" borderId="15" xfId="0" applyNumberFormat="1" applyFont="1" applyFill="1" applyBorder="1" applyAlignment="1">
      <alignment horizontal="right"/>
    </xf>
    <xf numFmtId="191" fontId="9" fillId="35" borderId="20" xfId="0" applyNumberFormat="1" applyFont="1" applyFill="1" applyBorder="1" applyAlignment="1">
      <alignment/>
    </xf>
    <xf numFmtId="191" fontId="9" fillId="35" borderId="16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91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91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91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91" fontId="27" fillId="35" borderId="11" xfId="121" applyNumberFormat="1" applyFont="1" applyFill="1" applyBorder="1" applyAlignment="1">
      <alignment horizontal="left" indent="1"/>
      <protection/>
    </xf>
    <xf numFmtId="191" fontId="4" fillId="35" borderId="11" xfId="121" applyNumberFormat="1" applyFont="1" applyFill="1" applyBorder="1">
      <alignment/>
      <protection/>
    </xf>
    <xf numFmtId="191" fontId="26" fillId="35" borderId="12" xfId="121" applyNumberFormat="1" applyFont="1" applyFill="1" applyBorder="1">
      <alignment/>
      <protection/>
    </xf>
    <xf numFmtId="191" fontId="26" fillId="35" borderId="11" xfId="0" applyNumberFormat="1" applyFont="1" applyFill="1" applyBorder="1" applyAlignment="1">
      <alignment/>
    </xf>
    <xf numFmtId="191" fontId="27" fillId="35" borderId="11" xfId="0" applyNumberFormat="1" applyFont="1" applyFill="1" applyBorder="1" applyAlignment="1">
      <alignment horizontal="left" indent="1"/>
    </xf>
    <xf numFmtId="191" fontId="27" fillId="35" borderId="11" xfId="0" applyNumberFormat="1" applyFont="1" applyFill="1" applyBorder="1" applyAlignment="1">
      <alignment horizontal="left"/>
    </xf>
    <xf numFmtId="191" fontId="26" fillId="35" borderId="11" xfId="0" applyNumberFormat="1" applyFont="1" applyFill="1" applyBorder="1" applyAlignment="1">
      <alignment horizontal="left" indent="2"/>
    </xf>
    <xf numFmtId="191" fontId="26" fillId="35" borderId="11" xfId="0" applyNumberFormat="1" applyFont="1" applyFill="1" applyBorder="1" applyAlignment="1">
      <alignment horizontal="left"/>
    </xf>
    <xf numFmtId="191" fontId="4" fillId="35" borderId="11" xfId="0" applyNumberFormat="1" applyFont="1" applyFill="1" applyBorder="1" applyAlignment="1">
      <alignment horizontal="left" indent="2"/>
    </xf>
    <xf numFmtId="191" fontId="4" fillId="35" borderId="11" xfId="0" applyNumberFormat="1" applyFont="1" applyFill="1" applyBorder="1" applyAlignment="1">
      <alignment/>
    </xf>
    <xf numFmtId="191" fontId="27" fillId="35" borderId="12" xfId="0" applyNumberFormat="1" applyFont="1" applyFill="1" applyBorder="1" applyAlignment="1">
      <alignment horizontal="left" indent="1"/>
    </xf>
    <xf numFmtId="191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0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1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91" fontId="26" fillId="35" borderId="0" xfId="114" applyNumberFormat="1" applyFont="1" applyFill="1" applyBorder="1">
      <alignment/>
      <protection/>
    </xf>
    <xf numFmtId="191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91" fontId="26" fillId="35" borderId="18" xfId="114" applyNumberFormat="1" applyFont="1" applyFill="1" applyBorder="1">
      <alignment/>
      <protection/>
    </xf>
    <xf numFmtId="191" fontId="4" fillId="35" borderId="0" xfId="114" applyNumberFormat="1" applyFont="1" applyFill="1" applyBorder="1" applyAlignment="1">
      <alignment horizontal="right"/>
      <protection/>
    </xf>
    <xf numFmtId="191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91" fontId="26" fillId="35" borderId="18" xfId="114" applyNumberFormat="1" applyFont="1" applyFill="1" applyBorder="1" applyAlignment="1">
      <alignment horizontal="right"/>
      <protection/>
    </xf>
    <xf numFmtId="191" fontId="26" fillId="35" borderId="0" xfId="114" applyNumberFormat="1" applyFont="1" applyFill="1" applyBorder="1" applyAlignment="1">
      <alignment horizontal="right"/>
      <protection/>
    </xf>
    <xf numFmtId="191" fontId="26" fillId="35" borderId="0" xfId="119" applyNumberFormat="1" applyFont="1" applyFill="1" applyBorder="1">
      <alignment/>
      <protection/>
    </xf>
    <xf numFmtId="184" fontId="26" fillId="35" borderId="0" xfId="119" applyNumberFormat="1" applyFont="1" applyFill="1" applyBorder="1">
      <alignment/>
      <protection/>
    </xf>
    <xf numFmtId="191" fontId="4" fillId="35" borderId="0" xfId="119" applyNumberFormat="1" applyFont="1" applyFill="1" applyBorder="1">
      <alignment/>
      <protection/>
    </xf>
    <xf numFmtId="184" fontId="4" fillId="35" borderId="0" xfId="119" applyNumberFormat="1" applyFont="1" applyFill="1" applyBorder="1">
      <alignment/>
      <protection/>
    </xf>
    <xf numFmtId="191" fontId="26" fillId="35" borderId="23" xfId="119" applyNumberFormat="1" applyFont="1" applyFill="1" applyBorder="1">
      <alignment/>
      <protection/>
    </xf>
    <xf numFmtId="191" fontId="26" fillId="35" borderId="34" xfId="119" applyNumberFormat="1" applyFont="1" applyFill="1" applyBorder="1">
      <alignment/>
      <protection/>
    </xf>
    <xf numFmtId="191" fontId="4" fillId="35" borderId="0" xfId="120" applyNumberFormat="1" applyFont="1" applyFill="1" applyBorder="1">
      <alignment/>
      <protection/>
    </xf>
    <xf numFmtId="191" fontId="26" fillId="35" borderId="18" xfId="120" applyNumberFormat="1" applyFont="1" applyFill="1" applyBorder="1">
      <alignment/>
      <protection/>
    </xf>
    <xf numFmtId="191" fontId="26" fillId="35" borderId="0" xfId="108" applyNumberFormat="1" applyFont="1" applyFill="1" applyBorder="1">
      <alignment/>
      <protection/>
    </xf>
    <xf numFmtId="191" fontId="4" fillId="35" borderId="0" xfId="108" applyNumberFormat="1" applyFont="1" applyFill="1" applyBorder="1">
      <alignment/>
      <protection/>
    </xf>
    <xf numFmtId="191" fontId="26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 applyAlignment="1">
      <alignment horizontal="right"/>
      <protection/>
    </xf>
    <xf numFmtId="208" fontId="4" fillId="35" borderId="0" xfId="50" applyNumberFormat="1" applyFont="1" applyFill="1" applyBorder="1" applyAlignment="1">
      <alignment horizontal="right"/>
    </xf>
    <xf numFmtId="208" fontId="4" fillId="36" borderId="0" xfId="50" applyNumberFormat="1" applyFont="1" applyFill="1" applyBorder="1" applyAlignment="1">
      <alignment horizontal="right"/>
    </xf>
    <xf numFmtId="191" fontId="26" fillId="35" borderId="0" xfId="110" applyNumberFormat="1" applyFont="1" applyFill="1" applyBorder="1">
      <alignment/>
      <protection/>
    </xf>
    <xf numFmtId="184" fontId="26" fillId="35" borderId="0" xfId="110" applyNumberFormat="1" applyFont="1" applyFill="1" applyBorder="1">
      <alignment/>
      <protection/>
    </xf>
    <xf numFmtId="191" fontId="4" fillId="35" borderId="0" xfId="110" applyNumberFormat="1" applyFont="1" applyFill="1" applyBorder="1">
      <alignment/>
      <protection/>
    </xf>
    <xf numFmtId="184" fontId="4" fillId="35" borderId="0" xfId="110" applyNumberFormat="1" applyFont="1" applyFill="1" applyBorder="1">
      <alignment/>
      <protection/>
    </xf>
    <xf numFmtId="191" fontId="26" fillId="35" borderId="0" xfId="111" applyNumberFormat="1" applyFont="1" applyFill="1" applyBorder="1">
      <alignment/>
      <protection/>
    </xf>
    <xf numFmtId="184" fontId="26" fillId="35" borderId="0" xfId="111" applyNumberFormat="1" applyFont="1" applyFill="1" applyBorder="1">
      <alignment/>
      <protection/>
    </xf>
    <xf numFmtId="191" fontId="4" fillId="35" borderId="0" xfId="111" applyNumberFormat="1" applyFont="1" applyFill="1" applyBorder="1">
      <alignment/>
      <protection/>
    </xf>
    <xf numFmtId="184" fontId="4" fillId="35" borderId="0" xfId="111" applyNumberFormat="1" applyFont="1" applyFill="1" applyBorder="1">
      <alignment/>
      <protection/>
    </xf>
    <xf numFmtId="191" fontId="26" fillId="35" borderId="18" xfId="111" applyNumberFormat="1" applyFont="1" applyFill="1" applyBorder="1">
      <alignment/>
      <protection/>
    </xf>
    <xf numFmtId="0" fontId="114" fillId="0" borderId="0" xfId="0" applyFont="1" applyAlignment="1">
      <alignment/>
    </xf>
    <xf numFmtId="208" fontId="4" fillId="38" borderId="0" xfId="50" applyNumberFormat="1" applyFont="1" applyFill="1" applyBorder="1" applyAlignment="1">
      <alignment horizontal="right"/>
    </xf>
    <xf numFmtId="191" fontId="4" fillId="38" borderId="0" xfId="109" applyNumberFormat="1" applyFont="1" applyFill="1" applyBorder="1">
      <alignment/>
      <protection/>
    </xf>
    <xf numFmtId="191" fontId="4" fillId="38" borderId="18" xfId="109" applyNumberFormat="1" applyFont="1" applyFill="1" applyBorder="1">
      <alignment/>
      <protection/>
    </xf>
    <xf numFmtId="191" fontId="53" fillId="35" borderId="18" xfId="111" applyNumberFormat="1" applyFont="1" applyFill="1" applyBorder="1">
      <alignment/>
      <protection/>
    </xf>
    <xf numFmtId="191" fontId="54" fillId="35" borderId="18" xfId="111" applyNumberFormat="1" applyFont="1" applyFill="1" applyBorder="1">
      <alignment/>
      <protection/>
    </xf>
    <xf numFmtId="184" fontId="54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91" fontId="26" fillId="35" borderId="21" xfId="114" applyNumberFormat="1" applyFont="1" applyFill="1" applyBorder="1">
      <alignment/>
      <protection/>
    </xf>
    <xf numFmtId="191" fontId="4" fillId="35" borderId="21" xfId="114" applyNumberFormat="1" applyFont="1" applyFill="1" applyBorder="1">
      <alignment/>
      <protection/>
    </xf>
    <xf numFmtId="191" fontId="26" fillId="35" borderId="22" xfId="114" applyNumberFormat="1" applyFont="1" applyFill="1" applyBorder="1">
      <alignment/>
      <protection/>
    </xf>
    <xf numFmtId="191" fontId="26" fillId="35" borderId="21" xfId="108" applyNumberFormat="1" applyFont="1" applyFill="1" applyBorder="1">
      <alignment/>
      <protection/>
    </xf>
    <xf numFmtId="191" fontId="4" fillId="35" borderId="21" xfId="108" applyNumberFormat="1" applyFont="1" applyFill="1" applyBorder="1">
      <alignment/>
      <protection/>
    </xf>
    <xf numFmtId="191" fontId="4" fillId="35" borderId="18" xfId="108" applyNumberFormat="1" applyFont="1" applyFill="1" applyBorder="1">
      <alignment/>
      <protection/>
    </xf>
    <xf numFmtId="191" fontId="26" fillId="36" borderId="21" xfId="109" applyNumberFormat="1" applyFont="1" applyFill="1" applyBorder="1">
      <alignment/>
      <protection/>
    </xf>
    <xf numFmtId="191" fontId="4" fillId="38" borderId="21" xfId="109" applyNumberFormat="1" applyFont="1" applyFill="1" applyBorder="1">
      <alignment/>
      <protection/>
    </xf>
    <xf numFmtId="191" fontId="4" fillId="36" borderId="21" xfId="109" applyNumberFormat="1" applyFont="1" applyFill="1" applyBorder="1">
      <alignment/>
      <protection/>
    </xf>
    <xf numFmtId="191" fontId="4" fillId="38" borderId="22" xfId="109" applyNumberFormat="1" applyFont="1" applyFill="1" applyBorder="1">
      <alignment/>
      <protection/>
    </xf>
    <xf numFmtId="184" fontId="26" fillId="35" borderId="21" xfId="119" applyNumberFormat="1" applyFont="1" applyFill="1" applyBorder="1">
      <alignment/>
      <protection/>
    </xf>
    <xf numFmtId="184" fontId="4" fillId="35" borderId="21" xfId="119" applyNumberFormat="1" applyFont="1" applyFill="1" applyBorder="1">
      <alignment/>
      <protection/>
    </xf>
    <xf numFmtId="191" fontId="26" fillId="35" borderId="18" xfId="119" applyNumberFormat="1" applyFont="1" applyFill="1" applyBorder="1">
      <alignment/>
      <protection/>
    </xf>
    <xf numFmtId="184" fontId="26" fillId="35" borderId="18" xfId="119" applyNumberFormat="1" applyFont="1" applyFill="1" applyBorder="1">
      <alignment/>
      <protection/>
    </xf>
    <xf numFmtId="184" fontId="26" fillId="35" borderId="22" xfId="119" applyNumberFormat="1" applyFont="1" applyFill="1" applyBorder="1">
      <alignment/>
      <protection/>
    </xf>
    <xf numFmtId="184" fontId="26" fillId="35" borderId="21" xfId="110" applyNumberFormat="1" applyFont="1" applyFill="1" applyBorder="1">
      <alignment/>
      <protection/>
    </xf>
    <xf numFmtId="184" fontId="4" fillId="35" borderId="21" xfId="110" applyNumberFormat="1" applyFont="1" applyFill="1" applyBorder="1">
      <alignment/>
      <protection/>
    </xf>
    <xf numFmtId="191" fontId="4" fillId="35" borderId="21" xfId="120" applyNumberFormat="1" applyFont="1" applyFill="1" applyBorder="1">
      <alignment/>
      <protection/>
    </xf>
    <xf numFmtId="191" fontId="26" fillId="35" borderId="22" xfId="120" applyNumberFormat="1" applyFont="1" applyFill="1" applyBorder="1">
      <alignment/>
      <protection/>
    </xf>
    <xf numFmtId="184" fontId="26" fillId="35" borderId="21" xfId="111" applyNumberFormat="1" applyFont="1" applyFill="1" applyBorder="1">
      <alignment/>
      <protection/>
    </xf>
    <xf numFmtId="184" fontId="4" fillId="35" borderId="21" xfId="111" applyNumberFormat="1" applyFont="1" applyFill="1" applyBorder="1">
      <alignment/>
      <protection/>
    </xf>
    <xf numFmtId="184" fontId="54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91" fontId="4" fillId="39" borderId="0" xfId="109" applyNumberFormat="1" applyFont="1" applyFill="1" applyBorder="1">
      <alignment/>
      <protection/>
    </xf>
    <xf numFmtId="191" fontId="4" fillId="39" borderId="21" xfId="109" applyNumberFormat="1" applyFont="1" applyFill="1" applyBorder="1">
      <alignment/>
      <protection/>
    </xf>
    <xf numFmtId="184" fontId="115" fillId="35" borderId="15" xfId="0" applyNumberFormat="1" applyFont="1" applyFill="1" applyBorder="1" applyAlignment="1">
      <alignment/>
    </xf>
    <xf numFmtId="184" fontId="115" fillId="35" borderId="15" xfId="0" applyNumberFormat="1" applyFont="1" applyFill="1" applyBorder="1" applyAlignment="1">
      <alignment horizontal="right"/>
    </xf>
    <xf numFmtId="0" fontId="115" fillId="35" borderId="15" xfId="0" applyFont="1" applyFill="1" applyBorder="1" applyAlignment="1">
      <alignment/>
    </xf>
    <xf numFmtId="188" fontId="115" fillId="35" borderId="15" xfId="0" applyNumberFormat="1" applyFont="1" applyFill="1" applyBorder="1" applyAlignment="1">
      <alignment/>
    </xf>
    <xf numFmtId="188" fontId="115" fillId="35" borderId="15" xfId="0" applyNumberFormat="1" applyFont="1" applyFill="1" applyBorder="1" applyAlignment="1">
      <alignment horizontal="right"/>
    </xf>
    <xf numFmtId="0" fontId="116" fillId="0" borderId="0" xfId="0" applyFont="1" applyAlignment="1">
      <alignment/>
    </xf>
    <xf numFmtId="192" fontId="115" fillId="35" borderId="15" xfId="42" applyNumberFormat="1" applyFont="1" applyFill="1" applyBorder="1" applyAlignment="1">
      <alignment horizontal="right"/>
    </xf>
    <xf numFmtId="191" fontId="115" fillId="35" borderId="15" xfId="42" applyNumberFormat="1" applyFont="1" applyFill="1" applyBorder="1" applyAlignment="1">
      <alignment horizontal="right"/>
    </xf>
    <xf numFmtId="0" fontId="5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115" fillId="40" borderId="15" xfId="0" applyFont="1" applyFill="1" applyBorder="1" applyAlignment="1">
      <alignment/>
    </xf>
    <xf numFmtId="43" fontId="115" fillId="35" borderId="15" xfId="42" applyNumberFormat="1" applyFont="1" applyFill="1" applyBorder="1" applyAlignment="1">
      <alignment horizontal="right"/>
    </xf>
    <xf numFmtId="43" fontId="115" fillId="35" borderId="15" xfId="0" applyNumberFormat="1" applyFont="1" applyFill="1" applyBorder="1" applyAlignment="1">
      <alignment/>
    </xf>
    <xf numFmtId="224" fontId="115" fillId="35" borderId="15" xfId="0" applyNumberFormat="1" applyFont="1" applyFill="1" applyBorder="1" applyAlignment="1">
      <alignment/>
    </xf>
    <xf numFmtId="184" fontId="4" fillId="35" borderId="21" xfId="114" applyNumberFormat="1" applyFont="1" applyFill="1" applyBorder="1">
      <alignment/>
      <protection/>
    </xf>
    <xf numFmtId="191" fontId="4" fillId="35" borderId="22" xfId="108" applyNumberFormat="1" applyFont="1" applyFill="1" applyBorder="1">
      <alignment/>
      <protection/>
    </xf>
    <xf numFmtId="2" fontId="115" fillId="35" borderId="15" xfId="42" applyNumberFormat="1" applyFont="1" applyFill="1" applyBorder="1" applyAlignment="1">
      <alignment horizontal="right"/>
    </xf>
    <xf numFmtId="224" fontId="115" fillId="35" borderId="15" xfId="42" applyNumberFormat="1" applyFont="1" applyFill="1" applyBorder="1" applyAlignment="1">
      <alignment horizontal="right"/>
    </xf>
    <xf numFmtId="227" fontId="0" fillId="0" borderId="0" xfId="0" applyNumberFormat="1" applyAlignment="1">
      <alignment/>
    </xf>
    <xf numFmtId="43" fontId="115" fillId="35" borderId="15" xfId="42" applyFont="1" applyFill="1" applyBorder="1" applyAlignment="1">
      <alignment horizontal="right"/>
    </xf>
    <xf numFmtId="191" fontId="4" fillId="38" borderId="18" xfId="109" applyNumberFormat="1" applyFont="1" applyFill="1" applyBorder="1" applyAlignment="1">
      <alignment horizontal="right"/>
      <protection/>
    </xf>
    <xf numFmtId="4" fontId="115" fillId="35" borderId="15" xfId="42" applyNumberFormat="1" applyFont="1" applyFill="1" applyBorder="1" applyAlignment="1">
      <alignment horizontal="right"/>
    </xf>
    <xf numFmtId="43" fontId="9" fillId="35" borderId="15" xfId="42" applyNumberFormat="1" applyFont="1" applyFill="1" applyBorder="1" applyAlignment="1">
      <alignment/>
    </xf>
    <xf numFmtId="0" fontId="20" fillId="33" borderId="36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46" fontId="13" fillId="33" borderId="39" xfId="0" applyNumberFormat="1" applyFont="1" applyFill="1" applyBorder="1" applyAlignment="1">
      <alignment horizontal="center"/>
    </xf>
    <xf numFmtId="46" fontId="13" fillId="33" borderId="40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7" fillId="34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0" fontId="48" fillId="34" borderId="0" xfId="0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15"/>
          <c:w val="0.98375"/>
          <c:h val="0.8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Chart'!$BN$2:$BZ$2</c:f>
              <c:numCache>
                <c:ptCount val="1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</c:numCache>
            </c:numRef>
          </c:cat>
          <c:val>
            <c:numRef>
              <c:f>'[2]M1 M2 Chart'!$BN$8:$BZ$8</c:f>
              <c:numCache>
                <c:ptCount val="13"/>
                <c:pt idx="0">
                  <c:v>-0.04210277374891742</c:v>
                </c:pt>
                <c:pt idx="1">
                  <c:v>0.8272827782340273</c:v>
                </c:pt>
                <c:pt idx="2">
                  <c:v>6.327522043796926</c:v>
                </c:pt>
                <c:pt idx="3">
                  <c:v>-5.37998189760437</c:v>
                </c:pt>
                <c:pt idx="4">
                  <c:v>2.8928078536101274</c:v>
                </c:pt>
                <c:pt idx="5">
                  <c:v>0.6439831021346714</c:v>
                </c:pt>
                <c:pt idx="6">
                  <c:v>1.8487980056781463</c:v>
                </c:pt>
                <c:pt idx="7">
                  <c:v>-1.5968998485372725</c:v>
                </c:pt>
                <c:pt idx="8">
                  <c:v>2.2320562951535385</c:v>
                </c:pt>
                <c:pt idx="9">
                  <c:v>-1.8560209262167098</c:v>
                </c:pt>
                <c:pt idx="10">
                  <c:v>2.362310902846023</c:v>
                </c:pt>
                <c:pt idx="11">
                  <c:v>0.2270447830870585</c:v>
                </c:pt>
                <c:pt idx="12">
                  <c:v>-0.1536748188208603</c:v>
                </c:pt>
              </c:numCache>
            </c:numRef>
          </c:val>
        </c:ser>
        <c:ser>
          <c:idx val="1"/>
          <c:order val="1"/>
          <c:tx>
            <c:strRef>
              <c:f>'[2]M1 M2 Chart'!$A$11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Chart'!$BN$2:$BZ$2</c:f>
              <c:numCache>
                <c:ptCount val="1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</c:numCache>
            </c:numRef>
          </c:cat>
          <c:val>
            <c:numRef>
              <c:f>'[2]M1 M2 Chart'!$BN$9:$BZ$9</c:f>
              <c:numCache>
                <c:ptCount val="13"/>
                <c:pt idx="0">
                  <c:v>-1.5600971040161113</c:v>
                </c:pt>
                <c:pt idx="1">
                  <c:v>4.878776647467522</c:v>
                </c:pt>
                <c:pt idx="2">
                  <c:v>8.088498086381813</c:v>
                </c:pt>
                <c:pt idx="3">
                  <c:v>-4.4759391526018995</c:v>
                </c:pt>
                <c:pt idx="4">
                  <c:v>1.2390717930486315</c:v>
                </c:pt>
                <c:pt idx="5">
                  <c:v>-7.4774713855295865</c:v>
                </c:pt>
                <c:pt idx="6">
                  <c:v>4.924255561007868</c:v>
                </c:pt>
                <c:pt idx="7">
                  <c:v>0.39898149972288327</c:v>
                </c:pt>
                <c:pt idx="8">
                  <c:v>2.117849361403987</c:v>
                </c:pt>
                <c:pt idx="9">
                  <c:v>-0.2386392931238921</c:v>
                </c:pt>
                <c:pt idx="10">
                  <c:v>4.665005161830773</c:v>
                </c:pt>
                <c:pt idx="11">
                  <c:v>-0.5606720273251189</c:v>
                </c:pt>
                <c:pt idx="12">
                  <c:v>0.9572667423865429</c:v>
                </c:pt>
              </c:numCache>
            </c:numRef>
          </c:val>
        </c:ser>
        <c:axId val="59569025"/>
        <c:axId val="66359178"/>
      </c:barChart>
      <c:catAx>
        <c:axId val="595690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66359178"/>
        <c:crosses val="autoZero"/>
        <c:auto val="1"/>
        <c:lblOffset val="100"/>
        <c:tickLblSkip val="1"/>
        <c:noMultiLvlLbl val="0"/>
      </c:catAx>
      <c:valAx>
        <c:axId val="66359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45"/>
              <c:y val="0.04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69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"/>
          <c:y val="0.93725"/>
          <c:w val="0.574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0125"/>
          <c:w val="0.9657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chart'!$BO$2:$CA$2</c:f>
              <c:numCache>
                <c:ptCount val="1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</c:numCache>
            </c:numRef>
          </c:cat>
          <c:val>
            <c:numRef>
              <c:f>'[2] PSC chart'!$BM$11:$BY$11</c:f>
              <c:numCache>
                <c:ptCount val="13"/>
                <c:pt idx="0">
                  <c:v>0.7103561904573192</c:v>
                </c:pt>
                <c:pt idx="1">
                  <c:v>1.6125924625514372</c:v>
                </c:pt>
                <c:pt idx="2">
                  <c:v>-4.399490493217304</c:v>
                </c:pt>
                <c:pt idx="3">
                  <c:v>4.851910087405438</c:v>
                </c:pt>
                <c:pt idx="4">
                  <c:v>2.657976274018554</c:v>
                </c:pt>
                <c:pt idx="5">
                  <c:v>-4.830797456283062</c:v>
                </c:pt>
                <c:pt idx="6">
                  <c:v>4.0709732556819995</c:v>
                </c:pt>
                <c:pt idx="7">
                  <c:v>3.315189370473283</c:v>
                </c:pt>
                <c:pt idx="8">
                  <c:v>-6.406254840136411</c:v>
                </c:pt>
                <c:pt idx="9">
                  <c:v>0.5183161691678748</c:v>
                </c:pt>
                <c:pt idx="10">
                  <c:v>1.0303456542335603</c:v>
                </c:pt>
                <c:pt idx="11">
                  <c:v>4.621369138124226</c:v>
                </c:pt>
                <c:pt idx="12">
                  <c:v>0.36097118201327216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chart'!$BO$2:$CA$2</c:f>
              <c:numCache>
                <c:ptCount val="1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</c:numCache>
            </c:numRef>
          </c:cat>
          <c:val>
            <c:numRef>
              <c:f>'[2] PSC chart'!$BM$12:$BY$12</c:f>
              <c:numCache>
                <c:ptCount val="13"/>
                <c:pt idx="0">
                  <c:v>-0.6092556717745857</c:v>
                </c:pt>
                <c:pt idx="1">
                  <c:v>1.188283065867892</c:v>
                </c:pt>
                <c:pt idx="2">
                  <c:v>0.6884786335654285</c:v>
                </c:pt>
                <c:pt idx="3">
                  <c:v>1.2104707999286515</c:v>
                </c:pt>
                <c:pt idx="4">
                  <c:v>0.7539465025562863</c:v>
                </c:pt>
                <c:pt idx="5">
                  <c:v>1.2872926060997363</c:v>
                </c:pt>
                <c:pt idx="6">
                  <c:v>0.9962323302300876</c:v>
                </c:pt>
                <c:pt idx="7">
                  <c:v>2.3542560329519078</c:v>
                </c:pt>
                <c:pt idx="8">
                  <c:v>0.08903063807790236</c:v>
                </c:pt>
                <c:pt idx="9">
                  <c:v>0.5596586251791982</c:v>
                </c:pt>
                <c:pt idx="10">
                  <c:v>1.1131584642264734</c:v>
                </c:pt>
                <c:pt idx="11">
                  <c:v>0.5354086660051172</c:v>
                </c:pt>
                <c:pt idx="12">
                  <c:v>0.5021686066656458</c:v>
                </c:pt>
              </c:numCache>
            </c:numRef>
          </c:val>
        </c:ser>
        <c:axId val="60361691"/>
        <c:axId val="6384308"/>
      </c:barChart>
      <c:catAx>
        <c:axId val="603616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6384308"/>
        <c:crosses val="autoZero"/>
        <c:auto val="1"/>
        <c:lblOffset val="100"/>
        <c:tickLblSkip val="1"/>
        <c:noMultiLvlLbl val="0"/>
      </c:catAx>
      <c:valAx>
        <c:axId val="6384308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1691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25"/>
          <c:y val="0.941"/>
          <c:w val="0.5247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475"/>
          <c:w val="0.9472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Chart'!$AP$6:$BZ$7</c:f>
              <c:multiLvlStrCache>
                <c:ptCount val="37"/>
                <c:lvl>
                  <c:pt idx="0">
                    <c:v>May</c:v>
                  </c:pt>
                  <c:pt idx="1">
                    <c:v>Jun</c:v>
                  </c:pt>
                  <c:pt idx="2">
                    <c:v>Jul</c:v>
                  </c:pt>
                  <c:pt idx="3">
                    <c:v>Aug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Dec</c:v>
                  </c:pt>
                  <c:pt idx="8">
                    <c:v>Jan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Apr</c:v>
                  </c:pt>
                  <c:pt idx="12">
                    <c:v>May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Oct</c:v>
                  </c:pt>
                  <c:pt idx="18">
                    <c:v>Nov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</c:v>
                  </c:pt>
                  <c:pt idx="26">
                    <c:v>Jul</c:v>
                  </c:pt>
                  <c:pt idx="27">
                    <c:v>Aug</c:v>
                  </c:pt>
                  <c:pt idx="28">
                    <c:v>Sep</c:v>
                  </c:pt>
                  <c:pt idx="29">
                    <c:v>Oct</c:v>
                  </c:pt>
                  <c:pt idx="30">
                    <c:v>Nov</c:v>
                  </c:pt>
                  <c:pt idx="31">
                    <c:v>Dec</c:v>
                  </c:pt>
                  <c:pt idx="32">
                    <c:v>Jan</c:v>
                  </c:pt>
                  <c:pt idx="33">
                    <c:v>Feb</c:v>
                  </c:pt>
                  <c:pt idx="34">
                    <c:v>Mar</c:v>
                  </c:pt>
                  <c:pt idx="35">
                    <c:v>Apr</c:v>
                  </c:pt>
                  <c:pt idx="36">
                    <c:v>May</c:v>
                  </c:pt>
                </c:lvl>
                <c:lvl>
                  <c:pt idx="0">
                    <c:v>2006</c:v>
                  </c:pt>
                  <c:pt idx="8">
                    <c:v>2007</c:v>
                  </c:pt>
                  <c:pt idx="20">
                    <c:v>2008</c:v>
                  </c:pt>
                  <c:pt idx="32">
                    <c:v>2009</c:v>
                  </c:pt>
                </c:lvl>
              </c:multiLvlStrCache>
            </c:multiLvlStrRef>
          </c:cat>
          <c:val>
            <c:numRef>
              <c:f>'[2]M1 M2 Chart'!$AP$10:$BZ$10</c:f>
              <c:numCache>
                <c:ptCount val="37"/>
                <c:pt idx="0">
                  <c:v>17.374532099341987</c:v>
                </c:pt>
                <c:pt idx="1">
                  <c:v>19.78430340277737</c:v>
                </c:pt>
                <c:pt idx="2">
                  <c:v>20.00993589216351</c:v>
                </c:pt>
                <c:pt idx="3">
                  <c:v>20.048531873604738</c:v>
                </c:pt>
                <c:pt idx="4">
                  <c:v>26.986302920432426</c:v>
                </c:pt>
                <c:pt idx="5">
                  <c:v>28.88947052779418</c:v>
                </c:pt>
                <c:pt idx="6">
                  <c:v>31.202335040567952</c:v>
                </c:pt>
                <c:pt idx="7">
                  <c:v>32.048793790371356</c:v>
                </c:pt>
                <c:pt idx="8">
                  <c:v>33.73499250428582</c:v>
                </c:pt>
                <c:pt idx="9">
                  <c:v>29.64005884283698</c:v>
                </c:pt>
                <c:pt idx="10">
                  <c:v>20.451162411398126</c:v>
                </c:pt>
                <c:pt idx="11">
                  <c:v>20.576221177079134</c:v>
                </c:pt>
                <c:pt idx="12">
                  <c:v>19.174746289291544</c:v>
                </c:pt>
                <c:pt idx="13">
                  <c:v>9.481845616092265</c:v>
                </c:pt>
                <c:pt idx="14">
                  <c:v>18.507489126733233</c:v>
                </c:pt>
                <c:pt idx="15">
                  <c:v>20.88274549887752</c:v>
                </c:pt>
                <c:pt idx="16">
                  <c:v>19.47370331052913</c:v>
                </c:pt>
                <c:pt idx="17">
                  <c:v>12.383776715101401</c:v>
                </c:pt>
                <c:pt idx="18">
                  <c:v>15.838827031610126</c:v>
                </c:pt>
                <c:pt idx="19">
                  <c:v>10.062477904328038</c:v>
                </c:pt>
                <c:pt idx="20">
                  <c:v>11.460310896844605</c:v>
                </c:pt>
                <c:pt idx="21">
                  <c:v>20.216427242318847</c:v>
                </c:pt>
                <c:pt idx="22">
                  <c:v>19.654303071608005</c:v>
                </c:pt>
                <c:pt idx="23">
                  <c:v>20.445071945158144</c:v>
                </c:pt>
                <c:pt idx="24">
                  <c:v>18.191376290417118</c:v>
                </c:pt>
                <c:pt idx="25">
                  <c:v>24.478508423962353</c:v>
                </c:pt>
                <c:pt idx="26">
                  <c:v>19.801851971603178</c:v>
                </c:pt>
                <c:pt idx="27">
                  <c:v>12.979826484115087</c:v>
                </c:pt>
                <c:pt idx="28">
                  <c:v>12.793874116750636</c:v>
                </c:pt>
                <c:pt idx="29">
                  <c:v>16.74104321346901</c:v>
                </c:pt>
                <c:pt idx="30">
                  <c:v>13.4178876384345</c:v>
                </c:pt>
                <c:pt idx="31">
                  <c:v>17.866874085413322</c:v>
                </c:pt>
                <c:pt idx="32">
                  <c:v>15.381148485475427</c:v>
                </c:pt>
                <c:pt idx="33">
                  <c:v>5.857079235067664</c:v>
                </c:pt>
                <c:pt idx="34">
                  <c:v>11.10712543850818</c:v>
                </c:pt>
                <c:pt idx="35">
                  <c:v>8.327116607669316</c:v>
                </c:pt>
                <c:pt idx="36">
                  <c:v>8.206202920286444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'[2]M1 M2 Chart'!$A$11:$M$11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'[2]M1 M2 Chart'!$AP$6:$BZ$7</c:f>
              <c:multiLvlStrCache>
                <c:ptCount val="37"/>
                <c:lvl>
                  <c:pt idx="0">
                    <c:v>May</c:v>
                  </c:pt>
                  <c:pt idx="1">
                    <c:v>Jun</c:v>
                  </c:pt>
                  <c:pt idx="2">
                    <c:v>Jul</c:v>
                  </c:pt>
                  <c:pt idx="3">
                    <c:v>Aug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Dec</c:v>
                  </c:pt>
                  <c:pt idx="8">
                    <c:v>Jan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Apr</c:v>
                  </c:pt>
                  <c:pt idx="12">
                    <c:v>May</c:v>
                  </c:pt>
                  <c:pt idx="13">
                    <c:v>Jun</c:v>
                  </c:pt>
                  <c:pt idx="14">
                    <c:v>Jul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Oct</c:v>
                  </c:pt>
                  <c:pt idx="18">
                    <c:v>Nov</c:v>
                  </c:pt>
                  <c:pt idx="19">
                    <c:v>Dec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Jun</c:v>
                  </c:pt>
                  <c:pt idx="26">
                    <c:v>Jul</c:v>
                  </c:pt>
                  <c:pt idx="27">
                    <c:v>Aug</c:v>
                  </c:pt>
                  <c:pt idx="28">
                    <c:v>Sep</c:v>
                  </c:pt>
                  <c:pt idx="29">
                    <c:v>Oct</c:v>
                  </c:pt>
                  <c:pt idx="30">
                    <c:v>Nov</c:v>
                  </c:pt>
                  <c:pt idx="31">
                    <c:v>Dec</c:v>
                  </c:pt>
                  <c:pt idx="32">
                    <c:v>Jan</c:v>
                  </c:pt>
                  <c:pt idx="33">
                    <c:v>Feb</c:v>
                  </c:pt>
                  <c:pt idx="34">
                    <c:v>Mar</c:v>
                  </c:pt>
                  <c:pt idx="35">
                    <c:v>Apr</c:v>
                  </c:pt>
                  <c:pt idx="36">
                    <c:v>May</c:v>
                  </c:pt>
                </c:lvl>
                <c:lvl>
                  <c:pt idx="0">
                    <c:v>2006</c:v>
                  </c:pt>
                  <c:pt idx="8">
                    <c:v>2007</c:v>
                  </c:pt>
                  <c:pt idx="20">
                    <c:v>2008</c:v>
                  </c:pt>
                  <c:pt idx="32">
                    <c:v>2009</c:v>
                  </c:pt>
                </c:lvl>
              </c:multiLvlStrCache>
            </c:multiLvlStrRef>
          </c:cat>
          <c:val>
            <c:numRef>
              <c:f>'[2]M1 M2 Chart'!$AP$11:$BZ$11</c:f>
              <c:numCache>
                <c:ptCount val="37"/>
                <c:pt idx="0">
                  <c:v>19.09758432211348</c:v>
                </c:pt>
                <c:pt idx="1">
                  <c:v>22.669739413680023</c:v>
                </c:pt>
                <c:pt idx="2">
                  <c:v>19.26520444972315</c:v>
                </c:pt>
                <c:pt idx="3">
                  <c:v>19.794919771930218</c:v>
                </c:pt>
                <c:pt idx="4">
                  <c:v>29.051577363950052</c:v>
                </c:pt>
                <c:pt idx="5">
                  <c:v>42.88057309725204</c:v>
                </c:pt>
                <c:pt idx="6">
                  <c:v>45.08204188040932</c:v>
                </c:pt>
                <c:pt idx="7">
                  <c:v>40.1416157271636</c:v>
                </c:pt>
                <c:pt idx="8">
                  <c:v>41.92464220017169</c:v>
                </c:pt>
                <c:pt idx="9">
                  <c:v>36.64912750255096</c:v>
                </c:pt>
                <c:pt idx="10">
                  <c:v>29.676511605062995</c:v>
                </c:pt>
                <c:pt idx="11">
                  <c:v>29.972796393561385</c:v>
                </c:pt>
                <c:pt idx="12">
                  <c:v>25.38083915078888</c:v>
                </c:pt>
                <c:pt idx="13">
                  <c:v>10.48832297113913</c:v>
                </c:pt>
                <c:pt idx="14">
                  <c:v>25.611306640508612</c:v>
                </c:pt>
                <c:pt idx="15">
                  <c:v>29.187098356069075</c:v>
                </c:pt>
                <c:pt idx="16">
                  <c:v>18.554446073351972</c:v>
                </c:pt>
                <c:pt idx="17">
                  <c:v>5.1741364881781715</c:v>
                </c:pt>
                <c:pt idx="18">
                  <c:v>12.258707587577057</c:v>
                </c:pt>
                <c:pt idx="19">
                  <c:v>6.825594746946906</c:v>
                </c:pt>
                <c:pt idx="20">
                  <c:v>6.741589893165956</c:v>
                </c:pt>
                <c:pt idx="21">
                  <c:v>19.65628492625853</c:v>
                </c:pt>
                <c:pt idx="22">
                  <c:v>16.61336445927315</c:v>
                </c:pt>
                <c:pt idx="23">
                  <c:v>18.725391557397785</c:v>
                </c:pt>
                <c:pt idx="24">
                  <c:v>16.39575416187611</c:v>
                </c:pt>
                <c:pt idx="25">
                  <c:v>36.41824342129152</c:v>
                </c:pt>
                <c:pt idx="26">
                  <c:v>25.773361878869405</c:v>
                </c:pt>
                <c:pt idx="27">
                  <c:v>18.330434019012355</c:v>
                </c:pt>
                <c:pt idx="28">
                  <c:v>25.060998494253873</c:v>
                </c:pt>
                <c:pt idx="29">
                  <c:v>16.93392494932191</c:v>
                </c:pt>
                <c:pt idx="30">
                  <c:v>15.608206332380782</c:v>
                </c:pt>
                <c:pt idx="31">
                  <c:v>26.880989450156576</c:v>
                </c:pt>
                <c:pt idx="32">
                  <c:v>22.26318749713816</c:v>
                </c:pt>
                <c:pt idx="33">
                  <c:v>7.937305685732587</c:v>
                </c:pt>
                <c:pt idx="34">
                  <c:v>14.521446310902263</c:v>
                </c:pt>
                <c:pt idx="35">
                  <c:v>11.525865923232526</c:v>
                </c:pt>
                <c:pt idx="36">
                  <c:v>14.377871812658771</c:v>
                </c:pt>
              </c:numCache>
            </c:numRef>
          </c:val>
          <c:smooth val="1"/>
        </c:ser>
        <c:marker val="1"/>
        <c:axId val="57458773"/>
        <c:axId val="47366910"/>
      </c:lineChart>
      <c:catAx>
        <c:axId val="574587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993366"/>
                </a:solidFill>
              </a:defRPr>
            </a:pPr>
          </a:p>
        </c:txPr>
        <c:crossAx val="47366910"/>
        <c:crosses val="autoZero"/>
        <c:auto val="1"/>
        <c:lblOffset val="100"/>
        <c:tickLblSkip val="1"/>
        <c:noMultiLvlLbl val="0"/>
      </c:catAx>
      <c:valAx>
        <c:axId val="47366910"/>
        <c:scaling>
          <c:orientation val="minMax"/>
          <c:max val="4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993366"/>
                    </a:solidFill>
                  </a:rPr>
                  <a:t>Percent 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8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9395"/>
          <c:w val="0.66725"/>
          <c:h val="0.05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62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chart'!$AW$9:$BY$10</c:f>
              <c:multiLvlStrCache>
                <c:ptCount val="2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</c:lvl>
              </c:multiLvlStrCache>
            </c:multiLvlStrRef>
          </c:cat>
          <c:val>
            <c:numRef>
              <c:f>'[2] PSC chart'!$AW$13:$BY$13</c:f>
              <c:numCache>
                <c:ptCount val="29"/>
                <c:pt idx="0">
                  <c:v>4.010736885898614</c:v>
                </c:pt>
                <c:pt idx="1">
                  <c:v>4.637972592747919</c:v>
                </c:pt>
                <c:pt idx="2">
                  <c:v>2.888790849040257</c:v>
                </c:pt>
                <c:pt idx="3">
                  <c:v>3.133528742828151</c:v>
                </c:pt>
                <c:pt idx="4">
                  <c:v>2.4665334093153524</c:v>
                </c:pt>
                <c:pt idx="5">
                  <c:v>0.4752296252192423</c:v>
                </c:pt>
                <c:pt idx="6">
                  <c:v>3.4455170277858604</c:v>
                </c:pt>
                <c:pt idx="7">
                  <c:v>4.892002211756874</c:v>
                </c:pt>
                <c:pt idx="8">
                  <c:v>8.158456531683811</c:v>
                </c:pt>
                <c:pt idx="9">
                  <c:v>10.435665788951031</c:v>
                </c:pt>
                <c:pt idx="10">
                  <c:v>8.935395232768006</c:v>
                </c:pt>
                <c:pt idx="11">
                  <c:v>5.96728355993994</c:v>
                </c:pt>
                <c:pt idx="12">
                  <c:v>8.549355669475833</c:v>
                </c:pt>
                <c:pt idx="13">
                  <c:v>9.211763790716487</c:v>
                </c:pt>
                <c:pt idx="14">
                  <c:v>12.685505172385113</c:v>
                </c:pt>
                <c:pt idx="15">
                  <c:v>11.30934667053014</c:v>
                </c:pt>
                <c:pt idx="16">
                  <c:v>8.100694746885996</c:v>
                </c:pt>
                <c:pt idx="17">
                  <c:v>9.120570936596884</c:v>
                </c:pt>
                <c:pt idx="18">
                  <c:v>3.099499701019215</c:v>
                </c:pt>
                <c:pt idx="19">
                  <c:v>3.949836172091259</c:v>
                </c:pt>
                <c:pt idx="20">
                  <c:v>3.2734437172182496</c:v>
                </c:pt>
                <c:pt idx="21">
                  <c:v>-2.2450419887489637</c:v>
                </c:pt>
                <c:pt idx="22">
                  <c:v>0.13323390624757625</c:v>
                </c:pt>
                <c:pt idx="23">
                  <c:v>6.124282222489841</c:v>
                </c:pt>
                <c:pt idx="24">
                  <c:v>3.1671065674200527</c:v>
                </c:pt>
                <c:pt idx="25">
                  <c:v>-0.3828728691057215</c:v>
                </c:pt>
                <c:pt idx="26">
                  <c:v>-1.3680882478567136</c:v>
                </c:pt>
                <c:pt idx="27">
                  <c:v>7.15326454045504</c:v>
                </c:pt>
                <c:pt idx="28">
                  <c:v>6.781527753371552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chart'!$AW$9:$BY$10</c:f>
              <c:multiLvlStrCache>
                <c:ptCount val="29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</c:lvl>
              </c:multiLvlStrCache>
            </c:multiLvlStrRef>
          </c:cat>
          <c:val>
            <c:numRef>
              <c:f>'[2] PSC chart'!$AW$14:$BY$14</c:f>
              <c:numCache>
                <c:ptCount val="29"/>
                <c:pt idx="0">
                  <c:v>16.126949169539117</c:v>
                </c:pt>
                <c:pt idx="1">
                  <c:v>14.442133967543992</c:v>
                </c:pt>
                <c:pt idx="2">
                  <c:v>15.800739639166883</c:v>
                </c:pt>
                <c:pt idx="3">
                  <c:v>14.016054744465789</c:v>
                </c:pt>
                <c:pt idx="4">
                  <c:v>12.237700033953057</c:v>
                </c:pt>
                <c:pt idx="5">
                  <c:v>13.58376823554548</c:v>
                </c:pt>
                <c:pt idx="6">
                  <c:v>11.004111075035317</c:v>
                </c:pt>
                <c:pt idx="7">
                  <c:v>11.451903726917866</c:v>
                </c:pt>
                <c:pt idx="8">
                  <c:v>12.251837402835065</c:v>
                </c:pt>
                <c:pt idx="9">
                  <c:v>13.106953403873757</c:v>
                </c:pt>
                <c:pt idx="10">
                  <c:v>14.205098425194018</c:v>
                </c:pt>
                <c:pt idx="11">
                  <c:v>13.57521524566696</c:v>
                </c:pt>
                <c:pt idx="12">
                  <c:v>11.356768676110573</c:v>
                </c:pt>
                <c:pt idx="13">
                  <c:v>11.64327804807117</c:v>
                </c:pt>
                <c:pt idx="14">
                  <c:v>12.181822067431147</c:v>
                </c:pt>
                <c:pt idx="15">
                  <c:v>12.60260991208324</c:v>
                </c:pt>
                <c:pt idx="16">
                  <c:v>11.761168749775951</c:v>
                </c:pt>
                <c:pt idx="17">
                  <c:v>11.16335479915891</c:v>
                </c:pt>
                <c:pt idx="18">
                  <c:v>11.351779594730305</c:v>
                </c:pt>
                <c:pt idx="19">
                  <c:v>11.946437217986915</c:v>
                </c:pt>
                <c:pt idx="20">
                  <c:v>11.918394217995786</c:v>
                </c:pt>
                <c:pt idx="21">
                  <c:v>10.786305030638</c:v>
                </c:pt>
                <c:pt idx="22">
                  <c:v>10.634126212054529</c:v>
                </c:pt>
                <c:pt idx="23">
                  <c:v>13.089264491161412</c:v>
                </c:pt>
                <c:pt idx="24">
                  <c:v>12.448090114387945</c:v>
                </c:pt>
                <c:pt idx="25">
                  <c:v>11.118238806939384</c:v>
                </c:pt>
                <c:pt idx="26">
                  <c:v>10.92349113695883</c:v>
                </c:pt>
                <c:pt idx="27">
                  <c:v>10.623271871477403</c:v>
                </c:pt>
                <c:pt idx="28">
                  <c:v>11.860302451633142</c:v>
                </c:pt>
              </c:numCache>
            </c:numRef>
          </c:val>
          <c:smooth val="1"/>
        </c:ser>
        <c:marker val="1"/>
        <c:axId val="23649007"/>
        <c:axId val="11514472"/>
      </c:lineChart>
      <c:catAx>
        <c:axId val="236490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11514472"/>
        <c:crosses val="autoZero"/>
        <c:auto val="1"/>
        <c:lblOffset val="100"/>
        <c:tickLblSkip val="1"/>
        <c:noMultiLvlLbl val="0"/>
      </c:catAx>
      <c:valAx>
        <c:axId val="11514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49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25"/>
          <c:y val="0.9235"/>
          <c:w val="0.61975"/>
          <c:h val="0.05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65"/>
          <c:w val="0.9665"/>
          <c:h val="0.879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'[3]Data'!$C$213:$C$229</c:f>
              <c:numCache>
                <c:ptCount val="17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  <c:pt idx="16">
                  <c:v>39942</c:v>
                </c:pt>
              </c:numCache>
            </c:numRef>
          </c:cat>
          <c:val>
            <c:numRef>
              <c:f>'[3]Data'!$E$213:$E$229</c:f>
              <c:numCache>
                <c:ptCount val="17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7.5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'[3]Data'!$C$213:$C$229</c:f>
              <c:numCache>
                <c:ptCount val="17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  <c:pt idx="16">
                  <c:v>39942</c:v>
                </c:pt>
              </c:numCache>
            </c:numRef>
          </c:cat>
          <c:val>
            <c:numRef>
              <c:f>'[3]Data'!$J$213:$J$229</c:f>
              <c:numCache>
                <c:ptCount val="17"/>
                <c:pt idx="0">
                  <c:v>8.13</c:v>
                </c:pt>
                <c:pt idx="1">
                  <c:v>8.23</c:v>
                </c:pt>
                <c:pt idx="2">
                  <c:v>8.35</c:v>
                </c:pt>
                <c:pt idx="3">
                  <c:v>8.14</c:v>
                </c:pt>
                <c:pt idx="4">
                  <c:v>8.29</c:v>
                </c:pt>
                <c:pt idx="5">
                  <c:v>8.33</c:v>
                </c:pt>
                <c:pt idx="6">
                  <c:v>8.28</c:v>
                </c:pt>
                <c:pt idx="7">
                  <c:v>8.4</c:v>
                </c:pt>
                <c:pt idx="8">
                  <c:v>8.54</c:v>
                </c:pt>
                <c:pt idx="9">
                  <c:v>8.7</c:v>
                </c:pt>
                <c:pt idx="10">
                  <c:v>8.62</c:v>
                </c:pt>
                <c:pt idx="11">
                  <c:v>8.6</c:v>
                </c:pt>
                <c:pt idx="12">
                  <c:v>8.27</c:v>
                </c:pt>
                <c:pt idx="13">
                  <c:v>8.46</c:v>
                </c:pt>
                <c:pt idx="14">
                  <c:v>7.47</c:v>
                </c:pt>
                <c:pt idx="15">
                  <c:v>6.84</c:v>
                </c:pt>
                <c:pt idx="16">
                  <c:v>6.48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'[3]Data'!$C$213:$C$229</c:f>
              <c:numCache>
                <c:ptCount val="17"/>
                <c:pt idx="0">
                  <c:v>39449</c:v>
                </c:pt>
                <c:pt idx="1">
                  <c:v>39480</c:v>
                </c:pt>
                <c:pt idx="2">
                  <c:v>39509</c:v>
                </c:pt>
                <c:pt idx="3">
                  <c:v>39540</c:v>
                </c:pt>
                <c:pt idx="4">
                  <c:v>39570</c:v>
                </c:pt>
                <c:pt idx="5">
                  <c:v>39601</c:v>
                </c:pt>
                <c:pt idx="6">
                  <c:v>39631</c:v>
                </c:pt>
                <c:pt idx="7">
                  <c:v>39662</c:v>
                </c:pt>
                <c:pt idx="8">
                  <c:v>39693</c:v>
                </c:pt>
                <c:pt idx="9">
                  <c:v>39723</c:v>
                </c:pt>
                <c:pt idx="10">
                  <c:v>39754</c:v>
                </c:pt>
                <c:pt idx="11">
                  <c:v>39783</c:v>
                </c:pt>
                <c:pt idx="12">
                  <c:v>39814</c:v>
                </c:pt>
                <c:pt idx="13">
                  <c:v>39846</c:v>
                </c:pt>
                <c:pt idx="14">
                  <c:v>39878</c:v>
                </c:pt>
                <c:pt idx="15">
                  <c:v>39910</c:v>
                </c:pt>
                <c:pt idx="16">
                  <c:v>39942</c:v>
                </c:pt>
              </c:numCache>
            </c:numRef>
          </c:cat>
          <c:val>
            <c:numRef>
              <c:f>'[3]Data'!$K$213:$K$229</c:f>
              <c:numCache>
                <c:ptCount val="17"/>
                <c:pt idx="0">
                  <c:v>14.01</c:v>
                </c:pt>
                <c:pt idx="1">
                  <c:v>14.18</c:v>
                </c:pt>
                <c:pt idx="2">
                  <c:v>13.93</c:v>
                </c:pt>
                <c:pt idx="3">
                  <c:v>13.14</c:v>
                </c:pt>
                <c:pt idx="4">
                  <c:v>13.2</c:v>
                </c:pt>
                <c:pt idx="5">
                  <c:v>13.49</c:v>
                </c:pt>
                <c:pt idx="6">
                  <c:v>13.13</c:v>
                </c:pt>
                <c:pt idx="7">
                  <c:v>13.8</c:v>
                </c:pt>
                <c:pt idx="8">
                  <c:v>13.91</c:v>
                </c:pt>
                <c:pt idx="9">
                  <c:v>13.99</c:v>
                </c:pt>
                <c:pt idx="10">
                  <c:v>14.32</c:v>
                </c:pt>
                <c:pt idx="11">
                  <c:v>13.74</c:v>
                </c:pt>
                <c:pt idx="12">
                  <c:v>12.96</c:v>
                </c:pt>
                <c:pt idx="13">
                  <c:v>13.84</c:v>
                </c:pt>
                <c:pt idx="14">
                  <c:v>12.55</c:v>
                </c:pt>
                <c:pt idx="15">
                  <c:v>11.35</c:v>
                </c:pt>
                <c:pt idx="16">
                  <c:v>11.19</c:v>
                </c:pt>
              </c:numCache>
            </c:numRef>
          </c:val>
          <c:smooth val="1"/>
        </c:ser>
        <c:marker val="1"/>
        <c:axId val="36521385"/>
        <c:axId val="60257010"/>
      </c:lineChart>
      <c:catAx>
        <c:axId val="365213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60257010"/>
        <c:crossesAt val="0"/>
        <c:auto val="1"/>
        <c:lblOffset val="100"/>
        <c:tickLblSkip val="1"/>
        <c:noMultiLvlLbl val="0"/>
      </c:catAx>
      <c:valAx>
        <c:axId val="60257010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2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36521385"/>
        <c:crossesAt val="1"/>
        <c:crossBetween val="between"/>
        <c:dispUnits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3375"/>
          <c:w val="0.5932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245"/>
          <c:w val="0.95525"/>
          <c:h val="0.916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indices'!$B$147:$B$163</c:f>
              <c:numCache>
                <c:ptCount val="17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</c:numCache>
            </c:numRef>
          </c:cat>
          <c:val>
            <c:numRef>
              <c:f>'[4]Monthly indices'!$C$147:$C$163</c:f>
              <c:numCache>
                <c:ptCount val="17"/>
                <c:pt idx="0">
                  <c:v>837</c:v>
                </c:pt>
                <c:pt idx="1">
                  <c:v>988</c:v>
                </c:pt>
                <c:pt idx="2">
                  <c:v>939</c:v>
                </c:pt>
                <c:pt idx="3">
                  <c:v>963.6</c:v>
                </c:pt>
                <c:pt idx="4">
                  <c:v>961.2</c:v>
                </c:pt>
                <c:pt idx="5">
                  <c:v>956.37</c:v>
                </c:pt>
                <c:pt idx="6">
                  <c:v>845.9</c:v>
                </c:pt>
                <c:pt idx="7">
                  <c:v>829.84</c:v>
                </c:pt>
                <c:pt idx="8">
                  <c:v>671.3</c:v>
                </c:pt>
                <c:pt idx="9">
                  <c:v>576</c:v>
                </c:pt>
                <c:pt idx="10">
                  <c:v>582.39</c:v>
                </c:pt>
                <c:pt idx="11">
                  <c:v>556.26</c:v>
                </c:pt>
                <c:pt idx="12">
                  <c:v>516.37</c:v>
                </c:pt>
                <c:pt idx="13">
                  <c:v>420.02</c:v>
                </c:pt>
                <c:pt idx="14">
                  <c:v>478.83</c:v>
                </c:pt>
                <c:pt idx="15">
                  <c:v>478.83</c:v>
                </c:pt>
                <c:pt idx="16">
                  <c:v>588.59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442179"/>
        <c:axId val="48979612"/>
      </c:lineChart>
      <c:lineChart>
        <c:grouping val="standard"/>
        <c:varyColors val="0"/>
        <c:ser>
          <c:idx val="1"/>
          <c:order val="1"/>
          <c:tx>
            <c:strRef>
              <c:f>'[4]Monthly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indices'!$B$147:$B$163</c:f>
              <c:numCache>
                <c:ptCount val="17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</c:numCache>
            </c:numRef>
          </c:cat>
          <c:val>
            <c:numRef>
              <c:f>'[4]Monthly indices'!$D$147:$D$163</c:f>
              <c:numCache>
                <c:ptCount val="17"/>
                <c:pt idx="0">
                  <c:v>136</c:v>
                </c:pt>
                <c:pt idx="1">
                  <c:v>137</c:v>
                </c:pt>
                <c:pt idx="2">
                  <c:v>139</c:v>
                </c:pt>
                <c:pt idx="3">
                  <c:v>139.78</c:v>
                </c:pt>
                <c:pt idx="4">
                  <c:v>140.29</c:v>
                </c:pt>
                <c:pt idx="5">
                  <c:v>143.91</c:v>
                </c:pt>
                <c:pt idx="6">
                  <c:v>147.9</c:v>
                </c:pt>
                <c:pt idx="7">
                  <c:v>146.49</c:v>
                </c:pt>
                <c:pt idx="8">
                  <c:v>148.94</c:v>
                </c:pt>
                <c:pt idx="9">
                  <c:v>155.8</c:v>
                </c:pt>
                <c:pt idx="10">
                  <c:v>157.55</c:v>
                </c:pt>
                <c:pt idx="11">
                  <c:v>157.95</c:v>
                </c:pt>
                <c:pt idx="12">
                  <c:v>159.63</c:v>
                </c:pt>
                <c:pt idx="13">
                  <c:v>160.02</c:v>
                </c:pt>
                <c:pt idx="14">
                  <c:v>160.27</c:v>
                </c:pt>
                <c:pt idx="15">
                  <c:v>159.37</c:v>
                </c:pt>
                <c:pt idx="16">
                  <c:v>159.16</c:v>
                </c:pt>
              </c:numCache>
            </c:numRef>
          </c:val>
          <c:smooth val="1"/>
        </c:ser>
        <c:marker val="1"/>
        <c:axId val="38163325"/>
        <c:axId val="7925606"/>
      </c:lineChart>
      <c:catAx>
        <c:axId val="54421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375" b="0" i="0" u="none" baseline="0">
                <a:solidFill>
                  <a:srgbClr val="993366"/>
                </a:solidFill>
              </a:defRPr>
            </a:pPr>
          </a:p>
        </c:txPr>
        <c:crossAx val="48979612"/>
        <c:crosses val="autoZero"/>
        <c:auto val="1"/>
        <c:lblOffset val="100"/>
        <c:tickLblSkip val="1"/>
        <c:noMultiLvlLbl val="0"/>
      </c:catAx>
      <c:valAx>
        <c:axId val="48979612"/>
        <c:scaling>
          <c:orientation val="minMax"/>
          <c:max val="102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5442179"/>
        <c:crossesAt val="1"/>
        <c:crossBetween val="between"/>
        <c:dispUnits/>
        <c:majorUnit val="50"/>
        <c:minorUnit val="10"/>
      </c:valAx>
      <c:catAx>
        <c:axId val="38163325"/>
        <c:scaling>
          <c:orientation val="minMax"/>
        </c:scaling>
        <c:axPos val="b"/>
        <c:delete val="1"/>
        <c:majorTickMark val="out"/>
        <c:minorTickMark val="none"/>
        <c:tickLblPos val="none"/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  <c:max val="16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38163325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5"/>
          <c:y val="0.93925"/>
          <c:w val="0.483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94875"/>
          <c:h val="0.89"/>
        </c:manualLayout>
      </c:layout>
      <c:lineChart>
        <c:grouping val="standard"/>
        <c:varyColors val="0"/>
        <c:ser>
          <c:idx val="1"/>
          <c:order val="0"/>
          <c:tx>
            <c:strRef>
              <c:f>'[5]Inflation CPIX -NCPI'!$E$5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-NCPI'!$B$41:$B$57</c:f>
              <c:numCache>
                <c:ptCount val="17"/>
                <c:pt idx="0">
                  <c:v>39458</c:v>
                </c:pt>
                <c:pt idx="1">
                  <c:v>39490</c:v>
                </c:pt>
                <c:pt idx="2">
                  <c:v>39520</c:v>
                </c:pt>
                <c:pt idx="3">
                  <c:v>39552</c:v>
                </c:pt>
                <c:pt idx="4">
                  <c:v>39583</c:v>
                </c:pt>
                <c:pt idx="5">
                  <c:v>39615</c:v>
                </c:pt>
                <c:pt idx="6">
                  <c:v>39646</c:v>
                </c:pt>
                <c:pt idx="7">
                  <c:v>39678</c:v>
                </c:pt>
                <c:pt idx="8">
                  <c:v>39710</c:v>
                </c:pt>
                <c:pt idx="9">
                  <c:v>39741</c:v>
                </c:pt>
                <c:pt idx="10">
                  <c:v>39773</c:v>
                </c:pt>
                <c:pt idx="11">
                  <c:v>39804</c:v>
                </c:pt>
                <c:pt idx="12">
                  <c:v>39836</c:v>
                </c:pt>
                <c:pt idx="13">
                  <c:v>39868</c:v>
                </c:pt>
                <c:pt idx="14">
                  <c:v>39900</c:v>
                </c:pt>
                <c:pt idx="15">
                  <c:v>39932</c:v>
                </c:pt>
                <c:pt idx="16">
                  <c:v>39963</c:v>
                </c:pt>
              </c:numCache>
            </c:numRef>
          </c:cat>
          <c:val>
            <c:numRef>
              <c:f>'[5]Inflation CPIX -NCPI'!$E$41:$E$57</c:f>
              <c:numCache>
                <c:ptCount val="17"/>
                <c:pt idx="0">
                  <c:v>7.8</c:v>
                </c:pt>
                <c:pt idx="1">
                  <c:v>7.9</c:v>
                </c:pt>
                <c:pt idx="2">
                  <c:v>8.4</c:v>
                </c:pt>
                <c:pt idx="3">
                  <c:v>9.3</c:v>
                </c:pt>
                <c:pt idx="4">
                  <c:v>9.7</c:v>
                </c:pt>
                <c:pt idx="5">
                  <c:v>10.3</c:v>
                </c:pt>
                <c:pt idx="6">
                  <c:v>11.9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11.7</c:v>
                </c:pt>
                <c:pt idx="11">
                  <c:v>10.9</c:v>
                </c:pt>
                <c:pt idx="12">
                  <c:v>11.6</c:v>
                </c:pt>
                <c:pt idx="13">
                  <c:v>11.6</c:v>
                </c:pt>
                <c:pt idx="14">
                  <c:v>11.2</c:v>
                </c:pt>
                <c:pt idx="15">
                  <c:v>10</c:v>
                </c:pt>
                <c:pt idx="16">
                  <c:v>9.6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'[5]Inflation CPIX -NCPI'!$D$5</c:f>
              <c:strCache>
                <c:ptCount val="1"/>
                <c:pt idx="0">
                  <c:v>RSA CPI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-NCPI'!$B$41:$B$57</c:f>
              <c:numCache>
                <c:ptCount val="17"/>
                <c:pt idx="0">
                  <c:v>39458</c:v>
                </c:pt>
                <c:pt idx="1">
                  <c:v>39490</c:v>
                </c:pt>
                <c:pt idx="2">
                  <c:v>39520</c:v>
                </c:pt>
                <c:pt idx="3">
                  <c:v>39552</c:v>
                </c:pt>
                <c:pt idx="4">
                  <c:v>39583</c:v>
                </c:pt>
                <c:pt idx="5">
                  <c:v>39615</c:v>
                </c:pt>
                <c:pt idx="6">
                  <c:v>39646</c:v>
                </c:pt>
                <c:pt idx="7">
                  <c:v>39678</c:v>
                </c:pt>
                <c:pt idx="8">
                  <c:v>39710</c:v>
                </c:pt>
                <c:pt idx="9">
                  <c:v>39741</c:v>
                </c:pt>
                <c:pt idx="10">
                  <c:v>39773</c:v>
                </c:pt>
                <c:pt idx="11">
                  <c:v>39804</c:v>
                </c:pt>
                <c:pt idx="12">
                  <c:v>39836</c:v>
                </c:pt>
                <c:pt idx="13">
                  <c:v>39868</c:v>
                </c:pt>
                <c:pt idx="14">
                  <c:v>39900</c:v>
                </c:pt>
                <c:pt idx="15">
                  <c:v>39932</c:v>
                </c:pt>
                <c:pt idx="16">
                  <c:v>39963</c:v>
                </c:pt>
              </c:numCache>
            </c:numRef>
          </c:cat>
          <c:val>
            <c:numRef>
              <c:f>'[5]Inflation CPIX -NCPI'!$D$41:$D$57</c:f>
              <c:numCache>
                <c:ptCount val="17"/>
                <c:pt idx="0">
                  <c:v>9.3</c:v>
                </c:pt>
                <c:pt idx="1">
                  <c:v>9.8</c:v>
                </c:pt>
                <c:pt idx="2">
                  <c:v>10.6</c:v>
                </c:pt>
                <c:pt idx="3">
                  <c:v>11.1</c:v>
                </c:pt>
                <c:pt idx="4">
                  <c:v>11.7</c:v>
                </c:pt>
                <c:pt idx="5">
                  <c:v>12.2</c:v>
                </c:pt>
                <c:pt idx="6">
                  <c:v>13.4</c:v>
                </c:pt>
                <c:pt idx="7">
                  <c:v>13.7</c:v>
                </c:pt>
                <c:pt idx="8">
                  <c:v>13.1</c:v>
                </c:pt>
                <c:pt idx="9">
                  <c:v>12.1</c:v>
                </c:pt>
                <c:pt idx="10">
                  <c:v>11.8</c:v>
                </c:pt>
                <c:pt idx="11">
                  <c:v>9.5</c:v>
                </c:pt>
                <c:pt idx="12">
                  <c:v>8.1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</c:numCache>
            </c:numRef>
          </c:val>
          <c:smooth val="0"/>
        </c:ser>
        <c:marker val="1"/>
        <c:axId val="4221591"/>
        <c:axId val="37994320"/>
      </c:lineChart>
      <c:catAx>
        <c:axId val="42215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37994320"/>
        <c:crosses val="autoZero"/>
        <c:auto val="0"/>
        <c:lblOffset val="100"/>
        <c:tickLblSkip val="1"/>
        <c:noMultiLvlLbl val="0"/>
      </c:catAx>
      <c:valAx>
        <c:axId val="37994320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4221591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25"/>
          <c:y val="0.928"/>
          <c:w val="0.299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625"/>
          <c:w val="0.93225"/>
          <c:h val="0.9147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'S6'!$BN$4:$BZ$4</c:f>
              <c:strCache>
                <c:ptCount val="1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</c:strCache>
            </c:strRef>
          </c:cat>
          <c:val>
            <c:numRef>
              <c:f>'S6'!$BN$13:$BZ$13</c:f>
              <c:numCache>
                <c:ptCount val="13"/>
                <c:pt idx="0">
                  <c:v>0.13116818384532647</c:v>
                </c:pt>
                <c:pt idx="1">
                  <c:v>0.12628175986260545</c:v>
                </c:pt>
                <c:pt idx="2">
                  <c:v>0.13090204599897895</c:v>
                </c:pt>
                <c:pt idx="3">
                  <c:v>0.1305858079343937</c:v>
                </c:pt>
                <c:pt idx="4">
                  <c:v>0.12426682572820359</c:v>
                </c:pt>
                <c:pt idx="5">
                  <c:v>0.10339657757328233</c:v>
                </c:pt>
                <c:pt idx="6">
                  <c:v>0.09883669213358769</c:v>
                </c:pt>
                <c:pt idx="7">
                  <c:v>0.10054697554697554</c:v>
                </c:pt>
                <c:pt idx="8">
                  <c:v>0.1010407194099222</c:v>
                </c:pt>
                <c:pt idx="9">
                  <c:v>0.09994003597841294</c:v>
                </c:pt>
                <c:pt idx="10">
                  <c:v>0.1000680462714646</c:v>
                </c:pt>
                <c:pt idx="11">
                  <c:v>0.11088933244621867</c:v>
                </c:pt>
                <c:pt idx="12">
                  <c:v>0.11944149158534693</c:v>
                </c:pt>
              </c:numCache>
            </c:numRef>
          </c:val>
          <c:smooth val="1"/>
        </c:ser>
        <c:marker val="1"/>
        <c:axId val="6404561"/>
        <c:axId val="57641050"/>
      </c:lineChart>
      <c:dateAx>
        <c:axId val="64045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50" b="0" i="0" u="none" baseline="0">
                <a:solidFill>
                  <a:srgbClr val="993366"/>
                </a:solidFill>
              </a:defRPr>
            </a:pPr>
          </a:p>
        </c:txPr>
        <c:crossAx val="57641050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7641050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561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993366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0625"/>
          <c:w val="0.939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chart'!$BO$2:$CA$2</c:f>
              <c:numCache>
                <c:ptCount val="13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</c:numCache>
            </c:numRef>
          </c:cat>
          <c:val>
            <c:numRef>
              <c:f>'[2]Int reser chart'!$BO$3:$CA$3</c:f>
              <c:numCache>
                <c:ptCount val="13"/>
                <c:pt idx="0">
                  <c:v>9441.90025126</c:v>
                </c:pt>
                <c:pt idx="1">
                  <c:v>9697.814715469998</c:v>
                </c:pt>
                <c:pt idx="2">
                  <c:v>11758.2039831</c:v>
                </c:pt>
                <c:pt idx="3">
                  <c:v>10730.849802119998</c:v>
                </c:pt>
                <c:pt idx="4">
                  <c:v>10942.098551590001</c:v>
                </c:pt>
                <c:pt idx="5">
                  <c:v>13805.317071959998</c:v>
                </c:pt>
                <c:pt idx="6">
                  <c:v>12725.77199603</c:v>
                </c:pt>
                <c:pt idx="7">
                  <c:v>12857.52677013</c:v>
                </c:pt>
                <c:pt idx="8">
                  <c:v>14460.5</c:v>
                </c:pt>
                <c:pt idx="9">
                  <c:v>13779</c:v>
                </c:pt>
                <c:pt idx="10">
                  <c:v>14354.4</c:v>
                </c:pt>
                <c:pt idx="11">
                  <c:v>14557.045</c:v>
                </c:pt>
                <c:pt idx="12">
                  <c:v>14201.469</c:v>
                </c:pt>
              </c:numCache>
            </c:numRef>
          </c:val>
        </c:ser>
        <c:axId val="49007403"/>
        <c:axId val="38413444"/>
      </c:barChart>
      <c:catAx>
        <c:axId val="490074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993366"/>
                </a:solidFill>
              </a:defRPr>
            </a:pPr>
          </a:p>
        </c:txPr>
        <c:crossAx val="38413444"/>
        <c:crosses val="autoZero"/>
        <c:auto val="1"/>
        <c:lblOffset val="100"/>
        <c:tickLblSkip val="1"/>
        <c:noMultiLvlLbl val="0"/>
      </c:catAx>
      <c:valAx>
        <c:axId val="3841344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993366"/>
                    </a:solidFill>
                  </a:rPr>
                  <a:t>Millions of Namibia Dollars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133350</xdr:rowOff>
    </xdr:from>
    <xdr:to>
      <xdr:col>12</xdr:col>
      <xdr:colOff>619125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619125" y="866775"/>
        <a:ext cx="74295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29</xdr:row>
      <xdr:rowOff>142875</xdr:rowOff>
    </xdr:from>
    <xdr:to>
      <xdr:col>13</xdr:col>
      <xdr:colOff>28575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590550" y="5676900"/>
        <a:ext cx="74866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104775</xdr:rowOff>
    </xdr:from>
    <xdr:to>
      <xdr:col>13</xdr:col>
      <xdr:colOff>438150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542925" y="419100"/>
        <a:ext cx="78200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42</xdr:row>
      <xdr:rowOff>85725</xdr:rowOff>
    </xdr:from>
    <xdr:to>
      <xdr:col>13</xdr:col>
      <xdr:colOff>438150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533400" y="6486525"/>
        <a:ext cx="78295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152400</xdr:rowOff>
    </xdr:from>
    <xdr:to>
      <xdr:col>15</xdr:col>
      <xdr:colOff>180975</xdr:colOff>
      <xdr:row>27</xdr:row>
      <xdr:rowOff>104775</xdr:rowOff>
    </xdr:to>
    <xdr:graphicFrame>
      <xdr:nvGraphicFramePr>
        <xdr:cNvPr id="1" name="Chart 8"/>
        <xdr:cNvGraphicFramePr/>
      </xdr:nvGraphicFramePr>
      <xdr:xfrm>
        <a:off x="209550" y="1019175"/>
        <a:ext cx="87344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31</xdr:row>
      <xdr:rowOff>76200</xdr:rowOff>
    </xdr:from>
    <xdr:to>
      <xdr:col>15</xdr:col>
      <xdr:colOff>219075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238125" y="6162675"/>
        <a:ext cx="87439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56</xdr:row>
      <xdr:rowOff>95250</xdr:rowOff>
    </xdr:from>
    <xdr:to>
      <xdr:col>15</xdr:col>
      <xdr:colOff>161925</xdr:colOff>
      <xdr:row>80</xdr:row>
      <xdr:rowOff>66675</xdr:rowOff>
    </xdr:to>
    <xdr:graphicFrame>
      <xdr:nvGraphicFramePr>
        <xdr:cNvPr id="3" name="Chart 1"/>
        <xdr:cNvGraphicFramePr/>
      </xdr:nvGraphicFramePr>
      <xdr:xfrm>
        <a:off x="238125" y="11020425"/>
        <a:ext cx="86868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41</xdr:row>
      <xdr:rowOff>161925</xdr:rowOff>
    </xdr:from>
    <xdr:to>
      <xdr:col>14</xdr:col>
      <xdr:colOff>352425</xdr:colOff>
      <xdr:row>72</xdr:row>
      <xdr:rowOff>9525</xdr:rowOff>
    </xdr:to>
    <xdr:graphicFrame>
      <xdr:nvGraphicFramePr>
        <xdr:cNvPr id="1" name="Chart 9"/>
        <xdr:cNvGraphicFramePr/>
      </xdr:nvGraphicFramePr>
      <xdr:xfrm>
        <a:off x="333375" y="6991350"/>
        <a:ext cx="85248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8</xdr:row>
      <xdr:rowOff>9525</xdr:rowOff>
    </xdr:from>
    <xdr:to>
      <xdr:col>14</xdr:col>
      <xdr:colOff>428625</xdr:colOff>
      <xdr:row>35</xdr:row>
      <xdr:rowOff>123825</xdr:rowOff>
    </xdr:to>
    <xdr:graphicFrame>
      <xdr:nvGraphicFramePr>
        <xdr:cNvPr id="2" name="Chart 1"/>
        <xdr:cNvGraphicFramePr/>
      </xdr:nvGraphicFramePr>
      <xdr:xfrm>
        <a:off x="409575" y="1400175"/>
        <a:ext cx="85248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%20Statistics\Monetary%20Data\New%20Framework%20(Roman)\Compilation%20Worksheet\Working%20Files\Output%20tables\Linked%20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%20Statistics\Financial%20Data\Money%20Market\Monthly%20Rates\Selected%20Interest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%20Statistics\Financial%20Data\Capital%20Market\NSX\Monthly%20Indices%20of%20NS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earch\Statistics%20and%20Publications%20Division\Monetary%20and%20Financial%20Statistics\Monetary%20Data\New%20Framework%20(Roman)\Compilation%20Worksheet\Working%20Files\Selected%20Monthly%20Statistic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2">
          <cell r="BN2">
            <v>39599</v>
          </cell>
          <cell r="BO2">
            <v>39629</v>
          </cell>
          <cell r="BP2">
            <v>39660</v>
          </cell>
          <cell r="BQ2">
            <v>39691</v>
          </cell>
          <cell r="BR2">
            <v>39721</v>
          </cell>
          <cell r="BS2">
            <v>39752</v>
          </cell>
          <cell r="BT2">
            <v>39782</v>
          </cell>
          <cell r="BU2">
            <v>39813</v>
          </cell>
          <cell r="BV2">
            <v>39844</v>
          </cell>
          <cell r="BW2">
            <v>39872</v>
          </cell>
          <cell r="BX2">
            <v>39903</v>
          </cell>
          <cell r="BY2">
            <v>39933</v>
          </cell>
          <cell r="BZ2">
            <v>39964</v>
          </cell>
        </row>
        <row r="6">
          <cell r="AP6" t="str">
            <v>2006</v>
          </cell>
          <cell r="AX6">
            <v>2007</v>
          </cell>
          <cell r="BJ6">
            <v>2008</v>
          </cell>
          <cell r="BV6">
            <v>2009</v>
          </cell>
        </row>
        <row r="7">
          <cell r="AP7" t="str">
            <v>May</v>
          </cell>
          <cell r="AQ7" t="str">
            <v>Jun</v>
          </cell>
          <cell r="AR7" t="str">
            <v>Jul</v>
          </cell>
          <cell r="AS7" t="str">
            <v>Aug</v>
          </cell>
          <cell r="AT7" t="str">
            <v>Sep</v>
          </cell>
          <cell r="AU7" t="str">
            <v>Oct</v>
          </cell>
          <cell r="AV7" t="str">
            <v>Nov</v>
          </cell>
          <cell r="AW7" t="str">
            <v>Dec</v>
          </cell>
          <cell r="AX7" t="str">
            <v>Jan</v>
          </cell>
          <cell r="AY7" t="str">
            <v>Feb</v>
          </cell>
          <cell r="AZ7" t="str">
            <v>Mar</v>
          </cell>
          <cell r="BA7" t="str">
            <v>Apr</v>
          </cell>
          <cell r="BB7" t="str">
            <v>May</v>
          </cell>
          <cell r="BC7" t="str">
            <v>Jun</v>
          </cell>
          <cell r="BD7" t="str">
            <v>Jul</v>
          </cell>
          <cell r="BE7" t="str">
            <v>Aug</v>
          </cell>
          <cell r="BF7" t="str">
            <v>Sep</v>
          </cell>
          <cell r="BG7" t="str">
            <v>Oct</v>
          </cell>
          <cell r="BH7" t="str">
            <v>Nov</v>
          </cell>
          <cell r="BI7" t="str">
            <v>Dec</v>
          </cell>
          <cell r="BJ7" t="str">
            <v>Jan</v>
          </cell>
          <cell r="BK7" t="str">
            <v>Feb</v>
          </cell>
          <cell r="BL7" t="str">
            <v>Mar</v>
          </cell>
          <cell r="BM7" t="str">
            <v>Apr</v>
          </cell>
          <cell r="BN7" t="str">
            <v>May</v>
          </cell>
          <cell r="BO7" t="str">
            <v>Jun</v>
          </cell>
          <cell r="BP7" t="str">
            <v>Jul</v>
          </cell>
          <cell r="BQ7" t="str">
            <v>Aug</v>
          </cell>
          <cell r="BR7" t="str">
            <v>Sep</v>
          </cell>
          <cell r="BS7" t="str">
            <v>Oct</v>
          </cell>
          <cell r="BT7" t="str">
            <v>Nov</v>
          </cell>
          <cell r="BU7" t="str">
            <v>Dec</v>
          </cell>
          <cell r="BV7" t="str">
            <v>Jan</v>
          </cell>
          <cell r="BW7" t="str">
            <v>Feb</v>
          </cell>
          <cell r="BX7" t="str">
            <v>Mar</v>
          </cell>
          <cell r="BY7" t="str">
            <v>Apr</v>
          </cell>
          <cell r="BZ7" t="str">
            <v>May</v>
          </cell>
        </row>
        <row r="8">
          <cell r="BN8">
            <v>-0.04210277374891742</v>
          </cell>
          <cell r="BO8">
            <v>0.8272827782340273</v>
          </cell>
          <cell r="BP8">
            <v>6.327522043796926</v>
          </cell>
          <cell r="BQ8">
            <v>-5.37998189760437</v>
          </cell>
          <cell r="BR8">
            <v>2.8928078536101274</v>
          </cell>
          <cell r="BS8">
            <v>0.6439831021346714</v>
          </cell>
          <cell r="BT8">
            <v>1.8487980056781463</v>
          </cell>
          <cell r="BU8">
            <v>-1.5968998485372725</v>
          </cell>
          <cell r="BV8">
            <v>2.2320562951535385</v>
          </cell>
          <cell r="BW8">
            <v>-1.8560209262167098</v>
          </cell>
          <cell r="BX8">
            <v>2.362310902846023</v>
          </cell>
          <cell r="BY8">
            <v>0.2270447830870585</v>
          </cell>
          <cell r="BZ8">
            <v>-0.1536748188208603</v>
          </cell>
        </row>
        <row r="9">
          <cell r="BN9">
            <v>-1.5600971040161113</v>
          </cell>
          <cell r="BO9">
            <v>4.878776647467522</v>
          </cell>
          <cell r="BP9">
            <v>8.088498086381813</v>
          </cell>
          <cell r="BQ9">
            <v>-4.4759391526018995</v>
          </cell>
          <cell r="BR9">
            <v>1.2390717930486315</v>
          </cell>
          <cell r="BS9">
            <v>-7.4774713855295865</v>
          </cell>
          <cell r="BT9">
            <v>4.924255561007868</v>
          </cell>
          <cell r="BU9">
            <v>0.39898149972288327</v>
          </cell>
          <cell r="BV9">
            <v>2.117849361403987</v>
          </cell>
          <cell r="BW9">
            <v>-0.2386392931238921</v>
          </cell>
          <cell r="BX9">
            <v>4.665005161830773</v>
          </cell>
          <cell r="BY9">
            <v>-0.5606720273251189</v>
          </cell>
          <cell r="BZ9">
            <v>0.9572667423865429</v>
          </cell>
        </row>
        <row r="10">
          <cell r="A10" t="str">
            <v>M2</v>
          </cell>
          <cell r="AP10">
            <v>17.374532099341987</v>
          </cell>
          <cell r="AQ10">
            <v>19.78430340277737</v>
          </cell>
          <cell r="AR10">
            <v>20.00993589216351</v>
          </cell>
          <cell r="AS10">
            <v>20.048531873604738</v>
          </cell>
          <cell r="AT10">
            <v>26.986302920432426</v>
          </cell>
          <cell r="AU10">
            <v>28.88947052779418</v>
          </cell>
          <cell r="AV10">
            <v>31.202335040567952</v>
          </cell>
          <cell r="AW10">
            <v>32.048793790371356</v>
          </cell>
          <cell r="AX10">
            <v>33.73499250428582</v>
          </cell>
          <cell r="AY10">
            <v>29.64005884283698</v>
          </cell>
          <cell r="AZ10">
            <v>20.451162411398126</v>
          </cell>
          <cell r="BA10">
            <v>20.576221177079134</v>
          </cell>
          <cell r="BB10">
            <v>19.174746289291544</v>
          </cell>
          <cell r="BC10">
            <v>9.481845616092265</v>
          </cell>
          <cell r="BD10">
            <v>18.507489126733233</v>
          </cell>
          <cell r="BE10">
            <v>20.88274549887752</v>
          </cell>
          <cell r="BF10">
            <v>19.47370331052913</v>
          </cell>
          <cell r="BG10">
            <v>12.383776715101401</v>
          </cell>
          <cell r="BH10">
            <v>15.838827031610126</v>
          </cell>
          <cell r="BI10">
            <v>10.062477904328038</v>
          </cell>
          <cell r="BJ10">
            <v>11.460310896844605</v>
          </cell>
          <cell r="BK10">
            <v>20.216427242318847</v>
          </cell>
          <cell r="BL10">
            <v>19.654303071608005</v>
          </cell>
          <cell r="BM10">
            <v>20.445071945158144</v>
          </cell>
          <cell r="BN10">
            <v>18.191376290417118</v>
          </cell>
          <cell r="BO10">
            <v>24.478508423962353</v>
          </cell>
          <cell r="BP10">
            <v>19.801851971603178</v>
          </cell>
          <cell r="BQ10">
            <v>12.979826484115087</v>
          </cell>
          <cell r="BR10">
            <v>12.793874116750636</v>
          </cell>
          <cell r="BS10">
            <v>16.74104321346901</v>
          </cell>
          <cell r="BT10">
            <v>13.4178876384345</v>
          </cell>
          <cell r="BU10">
            <v>17.866874085413322</v>
          </cell>
          <cell r="BV10">
            <v>15.381148485475427</v>
          </cell>
          <cell r="BW10">
            <v>5.857079235067664</v>
          </cell>
          <cell r="BX10">
            <v>11.10712543850818</v>
          </cell>
          <cell r="BY10">
            <v>8.327116607669316</v>
          </cell>
          <cell r="BZ10">
            <v>8.206202920286444</v>
          </cell>
        </row>
        <row r="11">
          <cell r="A11" t="str">
            <v>M1</v>
          </cell>
          <cell r="AP11">
            <v>19.09758432211348</v>
          </cell>
          <cell r="AQ11">
            <v>22.669739413680023</v>
          </cell>
          <cell r="AR11">
            <v>19.26520444972315</v>
          </cell>
          <cell r="AS11">
            <v>19.794919771930218</v>
          </cell>
          <cell r="AT11">
            <v>29.051577363950052</v>
          </cell>
          <cell r="AU11">
            <v>42.88057309725204</v>
          </cell>
          <cell r="AV11">
            <v>45.08204188040932</v>
          </cell>
          <cell r="AW11">
            <v>40.1416157271636</v>
          </cell>
          <cell r="AX11">
            <v>41.92464220017169</v>
          </cell>
          <cell r="AY11">
            <v>36.64912750255096</v>
          </cell>
          <cell r="AZ11">
            <v>29.676511605062995</v>
          </cell>
          <cell r="BA11">
            <v>29.972796393561385</v>
          </cell>
          <cell r="BB11">
            <v>25.38083915078888</v>
          </cell>
          <cell r="BC11">
            <v>10.48832297113913</v>
          </cell>
          <cell r="BD11">
            <v>25.611306640508612</v>
          </cell>
          <cell r="BE11">
            <v>29.187098356069075</v>
          </cell>
          <cell r="BF11">
            <v>18.554446073351972</v>
          </cell>
          <cell r="BG11">
            <v>5.1741364881781715</v>
          </cell>
          <cell r="BH11">
            <v>12.258707587577057</v>
          </cell>
          <cell r="BI11">
            <v>6.825594746946906</v>
          </cell>
          <cell r="BJ11">
            <v>6.741589893165956</v>
          </cell>
          <cell r="BK11">
            <v>19.65628492625853</v>
          </cell>
          <cell r="BL11">
            <v>16.61336445927315</v>
          </cell>
          <cell r="BM11">
            <v>18.725391557397785</v>
          </cell>
          <cell r="BN11">
            <v>16.39575416187611</v>
          </cell>
          <cell r="BO11">
            <v>36.41824342129152</v>
          </cell>
          <cell r="BP11">
            <v>25.773361878869405</v>
          </cell>
          <cell r="BQ11">
            <v>18.330434019012355</v>
          </cell>
          <cell r="BR11">
            <v>25.060998494253873</v>
          </cell>
          <cell r="BS11">
            <v>16.93392494932191</v>
          </cell>
          <cell r="BT11">
            <v>15.608206332380782</v>
          </cell>
          <cell r="BU11">
            <v>26.880989450156576</v>
          </cell>
          <cell r="BV11">
            <v>22.26318749713816</v>
          </cell>
          <cell r="BW11">
            <v>7.937305685732587</v>
          </cell>
          <cell r="BX11">
            <v>14.521446310902263</v>
          </cell>
          <cell r="BY11">
            <v>11.525865923232526</v>
          </cell>
          <cell r="BZ11">
            <v>14.377871812658771</v>
          </cell>
        </row>
      </sheetData>
      <sheetData sheetId="8">
        <row r="2"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  <cell r="BU2">
            <v>39782</v>
          </cell>
          <cell r="BV2">
            <v>39813</v>
          </cell>
          <cell r="BW2">
            <v>39844</v>
          </cell>
          <cell r="BX2">
            <v>39872</v>
          </cell>
          <cell r="BY2">
            <v>39903</v>
          </cell>
          <cell r="BZ2">
            <v>39933</v>
          </cell>
          <cell r="CA2">
            <v>39964</v>
          </cell>
        </row>
        <row r="3">
          <cell r="BO3">
            <v>9441.90025126</v>
          </cell>
          <cell r="BP3">
            <v>9697.814715469998</v>
          </cell>
          <cell r="BQ3">
            <v>11758.2039831</v>
          </cell>
          <cell r="BR3">
            <v>10730.849802119998</v>
          </cell>
          <cell r="BS3">
            <v>10942.098551590001</v>
          </cell>
          <cell r="BT3">
            <v>13805.317071959998</v>
          </cell>
          <cell r="BU3">
            <v>12725.77199603</v>
          </cell>
          <cell r="BV3">
            <v>12857.52677013</v>
          </cell>
          <cell r="BW3">
            <v>14460.5</v>
          </cell>
          <cell r="BX3">
            <v>13779</v>
          </cell>
          <cell r="BY3">
            <v>14354.4</v>
          </cell>
          <cell r="BZ3">
            <v>14557.045</v>
          </cell>
          <cell r="CA3">
            <v>14201.469</v>
          </cell>
        </row>
      </sheetData>
      <sheetData sheetId="9">
        <row r="2"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  <cell r="BU2">
            <v>39782</v>
          </cell>
          <cell r="BV2">
            <v>39813</v>
          </cell>
          <cell r="BW2">
            <v>39844</v>
          </cell>
          <cell r="BX2">
            <v>39872</v>
          </cell>
          <cell r="BY2">
            <v>39903</v>
          </cell>
          <cell r="BZ2">
            <v>39933</v>
          </cell>
          <cell r="CA2">
            <v>39964</v>
          </cell>
        </row>
        <row r="9">
          <cell r="AW9">
            <v>2007</v>
          </cell>
          <cell r="BI9">
            <v>2008</v>
          </cell>
          <cell r="BU9">
            <v>2009</v>
          </cell>
        </row>
        <row r="10">
          <cell r="AW10" t="str">
            <v>Jan</v>
          </cell>
          <cell r="AX10" t="str">
            <v>Feb</v>
          </cell>
          <cell r="AY10" t="str">
            <v>Mar</v>
          </cell>
          <cell r="AZ10" t="str">
            <v>Apr</v>
          </cell>
          <cell r="BA10" t="str">
            <v>May</v>
          </cell>
          <cell r="BB10" t="str">
            <v>Jun</v>
          </cell>
          <cell r="BC10" t="str">
            <v>Jul</v>
          </cell>
          <cell r="BD10" t="str">
            <v>Aug</v>
          </cell>
          <cell r="BE10" t="str">
            <v>Sep</v>
          </cell>
          <cell r="BF10" t="str">
            <v>Oct</v>
          </cell>
          <cell r="BG10" t="str">
            <v>Nov</v>
          </cell>
          <cell r="BH10" t="str">
            <v>Dec</v>
          </cell>
          <cell r="BI10" t="str">
            <v>Jan</v>
          </cell>
          <cell r="BJ10" t="str">
            <v>Feb</v>
          </cell>
          <cell r="BK10" t="str">
            <v>Mar</v>
          </cell>
          <cell r="BL10" t="str">
            <v>Apr</v>
          </cell>
          <cell r="BM10" t="str">
            <v>May</v>
          </cell>
          <cell r="BN10" t="str">
            <v>Jun</v>
          </cell>
          <cell r="BO10" t="str">
            <v>Jul</v>
          </cell>
          <cell r="BP10" t="str">
            <v>Aug</v>
          </cell>
          <cell r="BQ10" t="str">
            <v>Sep</v>
          </cell>
          <cell r="BR10" t="str">
            <v>Oct</v>
          </cell>
          <cell r="BS10" t="str">
            <v>Nov</v>
          </cell>
          <cell r="BT10" t="str">
            <v>Dec</v>
          </cell>
          <cell r="BU10" t="str">
            <v>Jan</v>
          </cell>
          <cell r="BV10" t="str">
            <v>Feb</v>
          </cell>
          <cell r="BW10" t="str">
            <v>Mar</v>
          </cell>
          <cell r="BX10" t="str">
            <v>Apr</v>
          </cell>
          <cell r="BY10" t="str">
            <v>May</v>
          </cell>
        </row>
        <row r="11">
          <cell r="B11" t="str">
            <v>Domestic claims</v>
          </cell>
          <cell r="BM11">
            <v>0.7103561904573192</v>
          </cell>
          <cell r="BN11">
            <v>1.6125924625514372</v>
          </cell>
          <cell r="BO11">
            <v>-4.399490493217304</v>
          </cell>
          <cell r="BP11">
            <v>4.851910087405438</v>
          </cell>
          <cell r="BQ11">
            <v>2.657976274018554</v>
          </cell>
          <cell r="BR11">
            <v>-4.830797456283062</v>
          </cell>
          <cell r="BS11">
            <v>4.0709732556819995</v>
          </cell>
          <cell r="BT11">
            <v>3.315189370473283</v>
          </cell>
          <cell r="BU11">
            <v>-6.406254840136411</v>
          </cell>
          <cell r="BV11">
            <v>0.5183161691678748</v>
          </cell>
          <cell r="BW11">
            <v>1.0303456542335603</v>
          </cell>
          <cell r="BX11">
            <v>4.621369138124226</v>
          </cell>
          <cell r="BY11">
            <v>0.36097118201327216</v>
          </cell>
        </row>
        <row r="12">
          <cell r="B12" t="str">
            <v>Other sectors claims</v>
          </cell>
          <cell r="BM12">
            <v>-0.6092556717745857</v>
          </cell>
          <cell r="BN12">
            <v>1.188283065867892</v>
          </cell>
          <cell r="BO12">
            <v>0.6884786335654285</v>
          </cell>
          <cell r="BP12">
            <v>1.2104707999286515</v>
          </cell>
          <cell r="BQ12">
            <v>0.7539465025562863</v>
          </cell>
          <cell r="BR12">
            <v>1.2872926060997363</v>
          </cell>
          <cell r="BS12">
            <v>0.9962323302300876</v>
          </cell>
          <cell r="BT12">
            <v>2.3542560329519078</v>
          </cell>
          <cell r="BU12">
            <v>0.08903063807790236</v>
          </cell>
          <cell r="BV12">
            <v>0.5596586251791982</v>
          </cell>
          <cell r="BW12">
            <v>1.1131584642264734</v>
          </cell>
          <cell r="BX12">
            <v>0.5354086660051172</v>
          </cell>
          <cell r="BY12">
            <v>0.5021686066656458</v>
          </cell>
        </row>
        <row r="13">
          <cell r="AW13">
            <v>4.010736885898614</v>
          </cell>
          <cell r="AX13">
            <v>4.637972592747919</v>
          </cell>
          <cell r="AY13">
            <v>2.888790849040257</v>
          </cell>
          <cell r="AZ13">
            <v>3.133528742828151</v>
          </cell>
          <cell r="BA13">
            <v>2.4665334093153524</v>
          </cell>
          <cell r="BB13">
            <v>0.4752296252192423</v>
          </cell>
          <cell r="BC13">
            <v>3.4455170277858604</v>
          </cell>
          <cell r="BD13">
            <v>4.892002211756874</v>
          </cell>
          <cell r="BE13">
            <v>8.158456531683811</v>
          </cell>
          <cell r="BF13">
            <v>10.435665788951031</v>
          </cell>
          <cell r="BG13">
            <v>8.935395232768006</v>
          </cell>
          <cell r="BH13">
            <v>5.96728355993994</v>
          </cell>
          <cell r="BI13">
            <v>8.549355669475833</v>
          </cell>
          <cell r="BJ13">
            <v>9.211763790716487</v>
          </cell>
          <cell r="BK13">
            <v>12.685505172385113</v>
          </cell>
          <cell r="BL13">
            <v>11.30934667053014</v>
          </cell>
          <cell r="BM13">
            <v>8.100694746885996</v>
          </cell>
          <cell r="BN13">
            <v>9.120570936596884</v>
          </cell>
          <cell r="BO13">
            <v>3.099499701019215</v>
          </cell>
          <cell r="BP13">
            <v>3.949836172091259</v>
          </cell>
          <cell r="BQ13">
            <v>3.2734437172182496</v>
          </cell>
          <cell r="BR13">
            <v>-2.2450419887489637</v>
          </cell>
          <cell r="BS13">
            <v>0.13323390624757625</v>
          </cell>
          <cell r="BT13">
            <v>6.124282222489841</v>
          </cell>
          <cell r="BU13">
            <v>3.1671065674200527</v>
          </cell>
          <cell r="BV13">
            <v>-0.3828728691057215</v>
          </cell>
          <cell r="BW13">
            <v>-1.3680882478567136</v>
          </cell>
          <cell r="BX13">
            <v>7.15326454045504</v>
          </cell>
          <cell r="BY13">
            <v>6.781527753371552</v>
          </cell>
        </row>
        <row r="14">
          <cell r="AW14">
            <v>16.126949169539117</v>
          </cell>
          <cell r="AX14">
            <v>14.442133967543992</v>
          </cell>
          <cell r="AY14">
            <v>15.800739639166883</v>
          </cell>
          <cell r="AZ14">
            <v>14.016054744465789</v>
          </cell>
          <cell r="BA14">
            <v>12.237700033953057</v>
          </cell>
          <cell r="BB14">
            <v>13.58376823554548</v>
          </cell>
          <cell r="BC14">
            <v>11.004111075035317</v>
          </cell>
          <cell r="BD14">
            <v>11.451903726917866</v>
          </cell>
          <cell r="BE14">
            <v>12.251837402835065</v>
          </cell>
          <cell r="BF14">
            <v>13.106953403873757</v>
          </cell>
          <cell r="BG14">
            <v>14.205098425194018</v>
          </cell>
          <cell r="BH14">
            <v>13.57521524566696</v>
          </cell>
          <cell r="BI14">
            <v>11.356768676110573</v>
          </cell>
          <cell r="BJ14">
            <v>11.64327804807117</v>
          </cell>
          <cell r="BK14">
            <v>12.181822067431147</v>
          </cell>
          <cell r="BL14">
            <v>12.60260991208324</v>
          </cell>
          <cell r="BM14">
            <v>11.761168749775951</v>
          </cell>
          <cell r="BN14">
            <v>11.16335479915891</v>
          </cell>
          <cell r="BO14">
            <v>11.351779594730305</v>
          </cell>
          <cell r="BP14">
            <v>11.946437217986915</v>
          </cell>
          <cell r="BQ14">
            <v>11.918394217995786</v>
          </cell>
          <cell r="BR14">
            <v>10.786305030638</v>
          </cell>
          <cell r="BS14">
            <v>10.634126212054529</v>
          </cell>
          <cell r="BT14">
            <v>13.089264491161412</v>
          </cell>
          <cell r="BU14">
            <v>12.448090114387945</v>
          </cell>
          <cell r="BV14">
            <v>11.118238806939384</v>
          </cell>
          <cell r="BW14">
            <v>10.92349113695883</v>
          </cell>
          <cell r="BX14">
            <v>10.623271871477403</v>
          </cell>
          <cell r="BY14">
            <v>11.860302451633142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13">
          <cell r="C213">
            <v>39449</v>
          </cell>
          <cell r="E213">
            <v>10.5</v>
          </cell>
          <cell r="J213">
            <v>8.13</v>
          </cell>
          <cell r="K213">
            <v>14.01</v>
          </cell>
        </row>
        <row r="214">
          <cell r="C214">
            <v>39480</v>
          </cell>
          <cell r="E214">
            <v>10.5</v>
          </cell>
          <cell r="J214">
            <v>8.23</v>
          </cell>
          <cell r="K214">
            <v>14.18</v>
          </cell>
        </row>
        <row r="215">
          <cell r="C215">
            <v>39509</v>
          </cell>
          <cell r="E215">
            <v>10.5</v>
          </cell>
          <cell r="J215">
            <v>8.35</v>
          </cell>
          <cell r="K215">
            <v>13.93</v>
          </cell>
        </row>
        <row r="216">
          <cell r="C216">
            <v>39540</v>
          </cell>
          <cell r="E216">
            <v>10.5</v>
          </cell>
          <cell r="J216">
            <v>8.14</v>
          </cell>
          <cell r="K216">
            <v>13.14</v>
          </cell>
        </row>
        <row r="217">
          <cell r="C217">
            <v>39570</v>
          </cell>
          <cell r="E217">
            <v>10.5</v>
          </cell>
          <cell r="J217">
            <v>8.29</v>
          </cell>
          <cell r="K217">
            <v>13.2</v>
          </cell>
        </row>
        <row r="218">
          <cell r="C218">
            <v>39601</v>
          </cell>
          <cell r="E218">
            <v>10.5</v>
          </cell>
          <cell r="J218">
            <v>8.33</v>
          </cell>
          <cell r="K218">
            <v>13.49</v>
          </cell>
        </row>
        <row r="219">
          <cell r="C219">
            <v>39631</v>
          </cell>
          <cell r="E219">
            <v>10.5</v>
          </cell>
          <cell r="J219">
            <v>8.28</v>
          </cell>
          <cell r="K219">
            <v>13.13</v>
          </cell>
        </row>
        <row r="220">
          <cell r="C220">
            <v>39662</v>
          </cell>
          <cell r="E220">
            <v>10.5</v>
          </cell>
          <cell r="J220">
            <v>8.4</v>
          </cell>
          <cell r="K220">
            <v>13.8</v>
          </cell>
        </row>
        <row r="221">
          <cell r="C221">
            <v>39693</v>
          </cell>
          <cell r="E221">
            <v>10.5</v>
          </cell>
          <cell r="J221">
            <v>8.54</v>
          </cell>
          <cell r="K221">
            <v>13.91</v>
          </cell>
        </row>
        <row r="222">
          <cell r="C222">
            <v>39723</v>
          </cell>
          <cell r="E222">
            <v>10.5</v>
          </cell>
          <cell r="J222">
            <v>8.7</v>
          </cell>
          <cell r="K222">
            <v>13.99</v>
          </cell>
        </row>
        <row r="223">
          <cell r="C223">
            <v>39754</v>
          </cell>
          <cell r="E223">
            <v>10.5</v>
          </cell>
          <cell r="J223">
            <v>8.62</v>
          </cell>
          <cell r="K223">
            <v>14.32</v>
          </cell>
        </row>
        <row r="224">
          <cell r="C224">
            <v>39783</v>
          </cell>
          <cell r="E224">
            <v>10</v>
          </cell>
          <cell r="J224">
            <v>8.6</v>
          </cell>
          <cell r="K224">
            <v>13.74</v>
          </cell>
        </row>
        <row r="225">
          <cell r="C225">
            <v>39814</v>
          </cell>
          <cell r="E225">
            <v>10</v>
          </cell>
          <cell r="J225">
            <v>8.27</v>
          </cell>
          <cell r="K225">
            <v>12.96</v>
          </cell>
        </row>
        <row r="226">
          <cell r="C226">
            <v>39846</v>
          </cell>
          <cell r="E226">
            <v>9</v>
          </cell>
          <cell r="J226">
            <v>8.46</v>
          </cell>
          <cell r="K226">
            <v>13.84</v>
          </cell>
        </row>
        <row r="227">
          <cell r="C227">
            <v>39878</v>
          </cell>
          <cell r="E227">
            <v>9</v>
          </cell>
          <cell r="J227">
            <v>7.47</v>
          </cell>
          <cell r="K227">
            <v>12.55</v>
          </cell>
        </row>
        <row r="228">
          <cell r="C228">
            <v>39910</v>
          </cell>
          <cell r="E228">
            <v>8</v>
          </cell>
          <cell r="J228">
            <v>6.84</v>
          </cell>
          <cell r="K228">
            <v>11.35</v>
          </cell>
        </row>
        <row r="229">
          <cell r="C229">
            <v>39942</v>
          </cell>
          <cell r="E229">
            <v>7.5</v>
          </cell>
          <cell r="J229">
            <v>6.48</v>
          </cell>
          <cell r="K229">
            <v>11.19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47">
          <cell r="B147">
            <v>39478</v>
          </cell>
          <cell r="C147">
            <v>837</v>
          </cell>
          <cell r="D147">
            <v>136</v>
          </cell>
        </row>
        <row r="148">
          <cell r="B148">
            <v>39507</v>
          </cell>
          <cell r="C148">
            <v>988</v>
          </cell>
          <cell r="D148">
            <v>137</v>
          </cell>
        </row>
        <row r="149">
          <cell r="B149">
            <v>39538</v>
          </cell>
          <cell r="C149">
            <v>939</v>
          </cell>
          <cell r="D149">
            <v>139</v>
          </cell>
        </row>
        <row r="150">
          <cell r="B150">
            <v>39568</v>
          </cell>
          <cell r="C150">
            <v>963.6</v>
          </cell>
          <cell r="D150">
            <v>139.78</v>
          </cell>
        </row>
        <row r="151">
          <cell r="B151">
            <v>39599</v>
          </cell>
          <cell r="C151">
            <v>961.2</v>
          </cell>
          <cell r="D151">
            <v>140.29</v>
          </cell>
        </row>
        <row r="152">
          <cell r="B152">
            <v>39629</v>
          </cell>
          <cell r="C152">
            <v>956.37</v>
          </cell>
          <cell r="D152">
            <v>143.91</v>
          </cell>
        </row>
        <row r="153">
          <cell r="B153">
            <v>39660</v>
          </cell>
          <cell r="C153">
            <v>845.9</v>
          </cell>
          <cell r="D153">
            <v>147.9</v>
          </cell>
        </row>
        <row r="154">
          <cell r="B154">
            <v>39691</v>
          </cell>
          <cell r="C154">
            <v>829.84</v>
          </cell>
          <cell r="D154">
            <v>146.49</v>
          </cell>
        </row>
        <row r="155">
          <cell r="B155">
            <v>39721</v>
          </cell>
          <cell r="C155">
            <v>671.3</v>
          </cell>
          <cell r="D155">
            <v>148.94</v>
          </cell>
        </row>
        <row r="156">
          <cell r="B156">
            <v>39752</v>
          </cell>
          <cell r="C156">
            <v>576</v>
          </cell>
          <cell r="D156">
            <v>155.8</v>
          </cell>
        </row>
        <row r="157">
          <cell r="B157">
            <v>39782</v>
          </cell>
          <cell r="C157">
            <v>582.39</v>
          </cell>
          <cell r="D157">
            <v>157.55</v>
          </cell>
        </row>
        <row r="158">
          <cell r="B158">
            <v>39813</v>
          </cell>
          <cell r="C158">
            <v>556.26</v>
          </cell>
          <cell r="D158">
            <v>157.95</v>
          </cell>
        </row>
        <row r="159">
          <cell r="B159">
            <v>39844</v>
          </cell>
          <cell r="C159">
            <v>516.37</v>
          </cell>
          <cell r="D159">
            <v>159.63</v>
          </cell>
        </row>
        <row r="160">
          <cell r="B160">
            <v>39872</v>
          </cell>
          <cell r="C160">
            <v>420.02</v>
          </cell>
          <cell r="D160">
            <v>160.02</v>
          </cell>
        </row>
        <row r="161">
          <cell r="B161">
            <v>39903</v>
          </cell>
          <cell r="C161">
            <v>478.83</v>
          </cell>
          <cell r="D161">
            <v>160.27</v>
          </cell>
        </row>
        <row r="162">
          <cell r="B162">
            <v>39933</v>
          </cell>
          <cell r="C162">
            <v>478.83</v>
          </cell>
          <cell r="D162">
            <v>159.37</v>
          </cell>
        </row>
        <row r="163">
          <cell r="B163">
            <v>39964</v>
          </cell>
          <cell r="C163">
            <v>588.59</v>
          </cell>
          <cell r="D163">
            <v>159.16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D5" t="str">
            <v>RSA CPI</v>
          </cell>
          <cell r="E5" t="str">
            <v>NCPI</v>
          </cell>
        </row>
        <row r="41">
          <cell r="B41">
            <v>39458</v>
          </cell>
          <cell r="D41">
            <v>9.3</v>
          </cell>
          <cell r="E41">
            <v>7.8</v>
          </cell>
        </row>
        <row r="42">
          <cell r="B42">
            <v>39490</v>
          </cell>
          <cell r="D42">
            <v>9.8</v>
          </cell>
          <cell r="E42">
            <v>7.9</v>
          </cell>
        </row>
        <row r="43">
          <cell r="B43">
            <v>39520</v>
          </cell>
          <cell r="D43">
            <v>10.6</v>
          </cell>
          <cell r="E43">
            <v>8.4</v>
          </cell>
        </row>
        <row r="44">
          <cell r="B44">
            <v>39552</v>
          </cell>
          <cell r="D44">
            <v>11.1</v>
          </cell>
          <cell r="E44">
            <v>9.3</v>
          </cell>
        </row>
        <row r="45">
          <cell r="B45">
            <v>39583</v>
          </cell>
          <cell r="D45">
            <v>11.7</v>
          </cell>
          <cell r="E45">
            <v>9.7</v>
          </cell>
        </row>
        <row r="46">
          <cell r="B46">
            <v>39615</v>
          </cell>
          <cell r="D46">
            <v>12.2</v>
          </cell>
          <cell r="E46">
            <v>10.3</v>
          </cell>
        </row>
        <row r="47">
          <cell r="B47">
            <v>39646</v>
          </cell>
          <cell r="D47">
            <v>13.4</v>
          </cell>
          <cell r="E47">
            <v>11.9</v>
          </cell>
        </row>
        <row r="48">
          <cell r="B48">
            <v>39678</v>
          </cell>
          <cell r="D48">
            <v>13.7</v>
          </cell>
          <cell r="E48">
            <v>12</v>
          </cell>
        </row>
        <row r="49">
          <cell r="B49">
            <v>39710</v>
          </cell>
          <cell r="D49">
            <v>13.1</v>
          </cell>
          <cell r="E49">
            <v>12</v>
          </cell>
        </row>
        <row r="50">
          <cell r="B50">
            <v>39741</v>
          </cell>
          <cell r="D50">
            <v>12.1</v>
          </cell>
          <cell r="E50">
            <v>12</v>
          </cell>
        </row>
        <row r="51">
          <cell r="B51">
            <v>39773</v>
          </cell>
          <cell r="D51">
            <v>11.8</v>
          </cell>
          <cell r="E51">
            <v>11.7</v>
          </cell>
        </row>
        <row r="52">
          <cell r="B52">
            <v>39804</v>
          </cell>
          <cell r="D52">
            <v>9.5</v>
          </cell>
          <cell r="E52">
            <v>10.9</v>
          </cell>
        </row>
        <row r="53">
          <cell r="B53">
            <v>39836</v>
          </cell>
          <cell r="D53">
            <v>8.1</v>
          </cell>
          <cell r="E53">
            <v>11.6</v>
          </cell>
        </row>
        <row r="54">
          <cell r="B54">
            <v>39868</v>
          </cell>
          <cell r="D54">
            <v>8.6</v>
          </cell>
          <cell r="E54">
            <v>11.6</v>
          </cell>
        </row>
        <row r="55">
          <cell r="B55">
            <v>39900</v>
          </cell>
          <cell r="D55">
            <v>8.5</v>
          </cell>
          <cell r="E55">
            <v>11.2</v>
          </cell>
        </row>
        <row r="56">
          <cell r="B56">
            <v>39932</v>
          </cell>
          <cell r="D56">
            <v>8.4</v>
          </cell>
          <cell r="E56">
            <v>10</v>
          </cell>
        </row>
        <row r="57">
          <cell r="B57">
            <v>39963</v>
          </cell>
          <cell r="D57">
            <v>8</v>
          </cell>
          <cell r="E57">
            <v>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1">
      <selection activeCell="A6" sqref="A6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104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101"/>
    </row>
    <row r="11" ht="40.5">
      <c r="A11" s="27"/>
    </row>
    <row r="12" ht="40.5">
      <c r="A12" s="27"/>
    </row>
    <row r="13" ht="40.5">
      <c r="A13" s="27" t="s">
        <v>47</v>
      </c>
    </row>
    <row r="14" ht="40.5">
      <c r="A14" s="27"/>
    </row>
    <row r="15" ht="40.5">
      <c r="A15" s="27" t="s">
        <v>48</v>
      </c>
    </row>
    <row r="16" ht="40.5">
      <c r="A16" s="27"/>
    </row>
    <row r="17" ht="40.5">
      <c r="A17" s="27" t="s">
        <v>49</v>
      </c>
    </row>
    <row r="18" ht="40.5">
      <c r="A18" s="27"/>
    </row>
    <row r="19" ht="40.5">
      <c r="A19" s="29">
        <v>39961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1">
      <selection activeCell="B2" sqref="B2:K59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10" width="9.28125" style="0" customWidth="1"/>
    <col min="11" max="11" width="9.140625" style="0" customWidth="1"/>
    <col min="12" max="12" width="9.7109375" style="0" bestFit="1" customWidth="1"/>
  </cols>
  <sheetData>
    <row r="1" ht="12" thickBot="1"/>
    <row r="2" spans="2:11" ht="11.25">
      <c r="B2" s="278" t="s">
        <v>78</v>
      </c>
      <c r="C2" s="279"/>
      <c r="D2" s="279"/>
      <c r="E2" s="279"/>
      <c r="F2" s="279"/>
      <c r="G2" s="279"/>
      <c r="H2" s="279"/>
      <c r="I2" s="279"/>
      <c r="J2" s="279"/>
      <c r="K2" s="280"/>
    </row>
    <row r="3" spans="2:11" ht="11.25">
      <c r="B3" s="287" t="s">
        <v>123</v>
      </c>
      <c r="C3" s="288"/>
      <c r="D3" s="288"/>
      <c r="E3" s="288"/>
      <c r="F3" s="288"/>
      <c r="G3" s="288"/>
      <c r="H3" s="288"/>
      <c r="I3" s="288"/>
      <c r="J3" s="288"/>
      <c r="K3" s="289"/>
    </row>
    <row r="4" spans="2:11" ht="11.25">
      <c r="B4" s="110"/>
      <c r="C4" s="22"/>
      <c r="D4" s="22"/>
      <c r="E4" s="22"/>
      <c r="F4" s="281" t="s">
        <v>113</v>
      </c>
      <c r="G4" s="282"/>
      <c r="H4" s="177" t="s">
        <v>136</v>
      </c>
      <c r="I4" s="281" t="s">
        <v>137</v>
      </c>
      <c r="J4" s="285"/>
      <c r="K4" s="286"/>
    </row>
    <row r="5" spans="2:11" ht="11.25">
      <c r="B5" s="111"/>
      <c r="C5" s="12">
        <v>39596</v>
      </c>
      <c r="D5" s="12">
        <v>39931</v>
      </c>
      <c r="E5" s="12">
        <v>39961</v>
      </c>
      <c r="F5" s="12" t="s">
        <v>116</v>
      </c>
      <c r="G5" s="99" t="s">
        <v>115</v>
      </c>
      <c r="H5" s="99" t="s">
        <v>138</v>
      </c>
      <c r="I5" s="12">
        <v>39873</v>
      </c>
      <c r="J5" s="12">
        <v>39904</v>
      </c>
      <c r="K5" s="12">
        <v>39934</v>
      </c>
    </row>
    <row r="6" spans="2:11" ht="11.25">
      <c r="B6" s="112"/>
      <c r="C6" s="188"/>
      <c r="D6" s="188"/>
      <c r="E6" s="188"/>
      <c r="F6" s="189"/>
      <c r="G6" s="189"/>
      <c r="H6" s="189"/>
      <c r="I6" s="185"/>
      <c r="J6" s="185"/>
      <c r="K6" s="224"/>
    </row>
    <row r="7" spans="2:14" ht="11.25">
      <c r="B7" s="113" t="s">
        <v>1</v>
      </c>
      <c r="C7" s="183">
        <v>11964.647496488291</v>
      </c>
      <c r="D7" s="183">
        <v>15925.43598024093</v>
      </c>
      <c r="E7" s="183">
        <v>15487.293541822848</v>
      </c>
      <c r="F7" s="183">
        <v>-438.14243841808275</v>
      </c>
      <c r="G7" s="183">
        <v>3522.646045334557</v>
      </c>
      <c r="H7" s="183">
        <v>-2.751211577263546</v>
      </c>
      <c r="I7" s="183">
        <v>42.26934477151363</v>
      </c>
      <c r="J7" s="183">
        <v>28.09803243734521</v>
      </c>
      <c r="K7" s="225">
        <v>29.44212143624356</v>
      </c>
      <c r="L7" s="55"/>
      <c r="N7" s="55"/>
    </row>
    <row r="8" spans="2:12" ht="11.25">
      <c r="B8" s="113" t="s">
        <v>75</v>
      </c>
      <c r="C8" s="183">
        <v>29846.954099510527</v>
      </c>
      <c r="D8" s="183">
        <v>31756.402115224686</v>
      </c>
      <c r="E8" s="183">
        <v>31871.0335753049</v>
      </c>
      <c r="F8" s="191">
        <v>114.63146008021431</v>
      </c>
      <c r="G8" s="191">
        <v>2024.0794757943731</v>
      </c>
      <c r="H8" s="183">
        <v>0.36097118201327216</v>
      </c>
      <c r="I8" s="183">
        <v>3.076906407488589</v>
      </c>
      <c r="J8" s="183">
        <v>7.15326454045504</v>
      </c>
      <c r="K8" s="225">
        <v>6.781527753371552</v>
      </c>
      <c r="L8" s="55"/>
    </row>
    <row r="9" spans="2:12" ht="11.25">
      <c r="B9" s="115" t="s">
        <v>149</v>
      </c>
      <c r="C9" s="184">
        <v>-4076.12004156947</v>
      </c>
      <c r="D9" s="184">
        <v>-5767.501383025315</v>
      </c>
      <c r="E9" s="184">
        <v>-5931.930773865099</v>
      </c>
      <c r="F9" s="187">
        <v>-164.429390839784</v>
      </c>
      <c r="G9" s="187">
        <v>-1855.810732295629</v>
      </c>
      <c r="H9" s="184">
        <v>2.850964046991409</v>
      </c>
      <c r="I9" s="184">
        <v>81.17500008400755</v>
      </c>
      <c r="J9" s="184">
        <v>24.150272118218076</v>
      </c>
      <c r="K9" s="226">
        <v>45.528853747424655</v>
      </c>
      <c r="L9" s="55"/>
    </row>
    <row r="10" spans="2:12" ht="11.25">
      <c r="B10" s="115" t="s">
        <v>146</v>
      </c>
      <c r="C10" s="184">
        <v>33923.07414108</v>
      </c>
      <c r="D10" s="184">
        <v>37523.90349825</v>
      </c>
      <c r="E10" s="184">
        <v>37802.96434917</v>
      </c>
      <c r="F10" s="187">
        <v>279.0608509199956</v>
      </c>
      <c r="G10" s="187">
        <v>3879.8902080900007</v>
      </c>
      <c r="H10" s="184">
        <v>0.743688222450018</v>
      </c>
      <c r="I10" s="184">
        <v>10.13849466841965</v>
      </c>
      <c r="J10" s="184">
        <v>9.456541757672454</v>
      </c>
      <c r="K10" s="226">
        <v>11.437319011697555</v>
      </c>
      <c r="L10" s="55"/>
    </row>
    <row r="11" spans="2:12" ht="11.25">
      <c r="B11" s="116" t="s">
        <v>50</v>
      </c>
      <c r="C11" s="184">
        <v>2725.4384880699995</v>
      </c>
      <c r="D11" s="184">
        <v>2749.8507760899997</v>
      </c>
      <c r="E11" s="184">
        <v>2841.1685602199996</v>
      </c>
      <c r="F11" s="187">
        <v>91.31778412999984</v>
      </c>
      <c r="G11" s="187">
        <v>115.73007215000007</v>
      </c>
      <c r="H11" s="184">
        <v>3.320826894463131</v>
      </c>
      <c r="I11" s="184">
        <v>-0.9219139097766949</v>
      </c>
      <c r="J11" s="184">
        <v>-4.882714810415845</v>
      </c>
      <c r="K11" s="226">
        <v>4.246291840985683</v>
      </c>
      <c r="L11" s="55"/>
    </row>
    <row r="12" spans="2:12" ht="11.25">
      <c r="B12" s="116" t="s">
        <v>147</v>
      </c>
      <c r="C12" s="184">
        <v>21.354</v>
      </c>
      <c r="D12" s="184">
        <v>69.56743192</v>
      </c>
      <c r="E12" s="184">
        <v>83.05983872</v>
      </c>
      <c r="F12" s="187">
        <v>13.492406799999998</v>
      </c>
      <c r="G12" s="187">
        <v>61.70583872</v>
      </c>
      <c r="H12" s="184">
        <v>19.39471736647656</v>
      </c>
      <c r="I12" s="184">
        <v>197.29619166699032</v>
      </c>
      <c r="J12" s="184">
        <v>194.6399217313964</v>
      </c>
      <c r="K12" s="269">
        <v>288.96618301020885</v>
      </c>
      <c r="L12" s="55"/>
    </row>
    <row r="13" spans="2:12" ht="11.25">
      <c r="B13" s="116" t="s">
        <v>150</v>
      </c>
      <c r="C13" s="184">
        <v>506.147</v>
      </c>
      <c r="D13" s="184">
        <v>511.21144855</v>
      </c>
      <c r="E13" s="184">
        <v>583.5316647399999</v>
      </c>
      <c r="F13" s="187">
        <v>72.32021618999988</v>
      </c>
      <c r="G13" s="187">
        <v>77.38466473999989</v>
      </c>
      <c r="H13" s="184">
        <v>14.146830317499523</v>
      </c>
      <c r="I13" s="184">
        <v>25.32491343784875</v>
      </c>
      <c r="J13" s="184">
        <v>9.986197934147455</v>
      </c>
      <c r="K13" s="226">
        <v>15.288970346559383</v>
      </c>
      <c r="L13" s="55"/>
    </row>
    <row r="14" spans="2:12" ht="11.25">
      <c r="B14" s="116" t="s">
        <v>151</v>
      </c>
      <c r="C14" s="184">
        <v>10116.682427599999</v>
      </c>
      <c r="D14" s="184">
        <v>11938.579695820003</v>
      </c>
      <c r="E14" s="184">
        <v>11794.082651709998</v>
      </c>
      <c r="F14" s="187">
        <v>-144.49704411000494</v>
      </c>
      <c r="G14" s="187">
        <v>1677.4002241099988</v>
      </c>
      <c r="H14" s="184">
        <v>-1.2103369730035558</v>
      </c>
      <c r="I14" s="184">
        <v>11.01943352132233</v>
      </c>
      <c r="J14" s="184">
        <v>13.534843195311375</v>
      </c>
      <c r="K14" s="226">
        <v>16.580536515940935</v>
      </c>
      <c r="L14" s="55"/>
    </row>
    <row r="15" spans="2:14" ht="11.25">
      <c r="B15" s="116" t="s">
        <v>51</v>
      </c>
      <c r="C15" s="184">
        <v>20553.45222541</v>
      </c>
      <c r="D15" s="184">
        <v>22249.84114587</v>
      </c>
      <c r="E15" s="184">
        <v>22496.26863378</v>
      </c>
      <c r="F15" s="187">
        <v>246.42748791000122</v>
      </c>
      <c r="G15" s="187">
        <v>1942.8164083699994</v>
      </c>
      <c r="H15" s="184">
        <v>1.1075471788514</v>
      </c>
      <c r="I15" s="184">
        <v>10.604396506548719</v>
      </c>
      <c r="J15" s="184">
        <v>9.13606456320668</v>
      </c>
      <c r="K15" s="226">
        <v>9.452506503837421</v>
      </c>
      <c r="L15" s="55"/>
      <c r="M15" s="52"/>
      <c r="N15" s="55"/>
    </row>
    <row r="16" spans="2:14" ht="11.25">
      <c r="B16" s="116" t="s">
        <v>145</v>
      </c>
      <c r="C16" s="184">
        <v>0</v>
      </c>
      <c r="D16" s="184">
        <v>4.853</v>
      </c>
      <c r="E16" s="184">
        <v>4.853</v>
      </c>
      <c r="F16" s="187">
        <v>0</v>
      </c>
      <c r="G16" s="187">
        <v>4.853</v>
      </c>
      <c r="H16" s="184">
        <v>0</v>
      </c>
      <c r="I16" s="184">
        <v>0</v>
      </c>
      <c r="J16" s="184">
        <v>0</v>
      </c>
      <c r="K16" s="226">
        <v>0</v>
      </c>
      <c r="L16" s="55"/>
      <c r="M16" s="52"/>
      <c r="N16" s="55"/>
    </row>
    <row r="17" spans="2:12" ht="11.25">
      <c r="B17" s="113" t="s">
        <v>45</v>
      </c>
      <c r="C17" s="183">
        <v>-14037.194302854245</v>
      </c>
      <c r="D17" s="183">
        <v>-17581.944524864928</v>
      </c>
      <c r="E17" s="183">
        <v>-17304.68689225068</v>
      </c>
      <c r="F17" s="191">
        <v>277.257632614248</v>
      </c>
      <c r="G17" s="191">
        <v>-3267.4925893964355</v>
      </c>
      <c r="H17" s="183">
        <v>-1.5769452134383755</v>
      </c>
      <c r="I17" s="183">
        <v>16.964881426287135</v>
      </c>
      <c r="J17" s="183">
        <v>23.101506795100523</v>
      </c>
      <c r="K17" s="225">
        <v>23.277390900915584</v>
      </c>
      <c r="L17" s="55"/>
    </row>
    <row r="18" spans="2:12" ht="12" thickBot="1">
      <c r="B18" s="117" t="s">
        <v>52</v>
      </c>
      <c r="C18" s="186">
        <v>27774.40729314457</v>
      </c>
      <c r="D18" s="186">
        <v>30099.89357060069</v>
      </c>
      <c r="E18" s="186">
        <v>30053.640224877065</v>
      </c>
      <c r="F18" s="190">
        <v>-46.25334572362408</v>
      </c>
      <c r="G18" s="190">
        <v>2279.2329317324948</v>
      </c>
      <c r="H18" s="186">
        <v>-0.15366614375275026</v>
      </c>
      <c r="I18" s="186">
        <v>11.236037337795368</v>
      </c>
      <c r="J18" s="186">
        <v>8.327116607669316</v>
      </c>
      <c r="K18" s="227">
        <v>8.206202920286444</v>
      </c>
      <c r="L18" s="55"/>
    </row>
    <row r="19" spans="2:13" ht="11.25">
      <c r="B19" s="178"/>
      <c r="C19" s="34"/>
      <c r="D19" s="34"/>
      <c r="E19" s="34"/>
      <c r="F19" s="34"/>
      <c r="G19" s="34"/>
      <c r="H19" s="34"/>
      <c r="I19" s="34"/>
      <c r="J19" s="34"/>
      <c r="K19" s="34"/>
      <c r="M19" s="52"/>
    </row>
    <row r="20" spans="2:13" ht="11.25">
      <c r="B20" s="145"/>
      <c r="C20" s="34"/>
      <c r="D20" s="34"/>
      <c r="E20" s="34"/>
      <c r="F20" s="34"/>
      <c r="G20" s="34"/>
      <c r="H20" s="34"/>
      <c r="I20" s="34"/>
      <c r="J20" s="34"/>
      <c r="K20" s="34"/>
      <c r="M20" s="52"/>
    </row>
    <row r="21" spans="2:13" ht="12" thickBot="1">
      <c r="B21" s="145"/>
      <c r="C21" s="34"/>
      <c r="D21" s="34"/>
      <c r="E21" s="34"/>
      <c r="F21" s="34"/>
      <c r="G21" s="34"/>
      <c r="H21" s="34"/>
      <c r="I21" s="34"/>
      <c r="J21" s="34"/>
      <c r="K21" s="34"/>
      <c r="M21" s="52"/>
    </row>
    <row r="22" spans="2:11" ht="11.25">
      <c r="B22" s="278" t="s">
        <v>141</v>
      </c>
      <c r="C22" s="279"/>
      <c r="D22" s="279"/>
      <c r="E22" s="279"/>
      <c r="F22" s="279"/>
      <c r="G22" s="279"/>
      <c r="H22" s="279"/>
      <c r="I22" s="279"/>
      <c r="J22" s="279"/>
      <c r="K22" s="280"/>
    </row>
    <row r="23" spans="2:11" ht="11.25">
      <c r="B23" s="290" t="s">
        <v>122</v>
      </c>
      <c r="C23" s="291"/>
      <c r="D23" s="291"/>
      <c r="E23" s="291"/>
      <c r="F23" s="291"/>
      <c r="G23" s="291"/>
      <c r="H23" s="291"/>
      <c r="I23" s="292"/>
      <c r="J23" s="292"/>
      <c r="K23" s="293"/>
    </row>
    <row r="24" spans="2:11" ht="11.25">
      <c r="B24" s="110"/>
      <c r="C24" s="22"/>
      <c r="D24" s="22"/>
      <c r="E24" s="22"/>
      <c r="F24" s="283" t="s">
        <v>113</v>
      </c>
      <c r="G24" s="284"/>
      <c r="H24" s="177" t="s">
        <v>135</v>
      </c>
      <c r="I24" s="283" t="s">
        <v>137</v>
      </c>
      <c r="J24" s="296"/>
      <c r="K24" s="297"/>
    </row>
    <row r="25" spans="2:11" ht="11.25">
      <c r="B25" s="111"/>
      <c r="C25" s="12">
        <f>C5</f>
        <v>39596</v>
      </c>
      <c r="D25" s="12">
        <f>D5</f>
        <v>39931</v>
      </c>
      <c r="E25" s="12">
        <f>E5</f>
        <v>39961</v>
      </c>
      <c r="F25" s="12" t="s">
        <v>116</v>
      </c>
      <c r="G25" s="99" t="s">
        <v>115</v>
      </c>
      <c r="H25" s="99" t="s">
        <v>138</v>
      </c>
      <c r="I25" s="12">
        <f>I5</f>
        <v>39873</v>
      </c>
      <c r="J25" s="12">
        <f>J5</f>
        <v>39904</v>
      </c>
      <c r="K25" s="223">
        <f>K5</f>
        <v>39934</v>
      </c>
    </row>
    <row r="26" spans="2:11" ht="11.25">
      <c r="B26" s="119"/>
      <c r="C26" s="35"/>
      <c r="D26" s="35"/>
      <c r="E26" s="35"/>
      <c r="F26" s="35"/>
      <c r="G26" s="35"/>
      <c r="H26" s="35"/>
      <c r="I26" s="35"/>
      <c r="J26" s="35"/>
      <c r="K26" s="120"/>
    </row>
    <row r="27" spans="2:11" ht="11.25">
      <c r="B27" s="113" t="s">
        <v>52</v>
      </c>
      <c r="C27" s="200">
        <v>27774.43531057057</v>
      </c>
      <c r="D27" s="200">
        <v>30099.91782630448</v>
      </c>
      <c r="E27" s="200">
        <v>30053.66183211968</v>
      </c>
      <c r="F27" s="200">
        <v>-46.25599418480124</v>
      </c>
      <c r="G27" s="200">
        <v>2279.2265215491097</v>
      </c>
      <c r="H27" s="200">
        <v>-0.1536748188208603</v>
      </c>
      <c r="I27" s="200">
        <v>11.236037337795368</v>
      </c>
      <c r="J27" s="200">
        <v>8.327116607669316</v>
      </c>
      <c r="K27" s="228">
        <v>8.206202920286444</v>
      </c>
    </row>
    <row r="28" spans="2:12" ht="11.25">
      <c r="B28" s="115" t="s">
        <v>53</v>
      </c>
      <c r="C28" s="201">
        <v>959.98261837</v>
      </c>
      <c r="D28" s="201">
        <v>1216.9292029090243</v>
      </c>
      <c r="E28" s="201">
        <v>1227.9777072844834</v>
      </c>
      <c r="F28" s="201">
        <v>11.04850437545906</v>
      </c>
      <c r="G28" s="201">
        <v>267.9950889144834</v>
      </c>
      <c r="H28" s="201">
        <v>0.9079003403852928</v>
      </c>
      <c r="I28" s="201">
        <v>32.28798578531735</v>
      </c>
      <c r="J28" s="201">
        <v>29.759339256368044</v>
      </c>
      <c r="K28" s="229">
        <v>27.916660550534232</v>
      </c>
      <c r="L28" s="52"/>
    </row>
    <row r="29" spans="2:11" ht="11.25">
      <c r="B29" s="115" t="s">
        <v>54</v>
      </c>
      <c r="C29" s="201">
        <v>16419.80055809657</v>
      </c>
      <c r="D29" s="201">
        <v>18473.209768088887</v>
      </c>
      <c r="E29" s="201">
        <v>18650.648415612482</v>
      </c>
      <c r="F29" s="201">
        <v>177.43864752359514</v>
      </c>
      <c r="G29" s="201">
        <v>2230.8478575159133</v>
      </c>
      <c r="H29" s="201">
        <v>0.9605187715136942</v>
      </c>
      <c r="I29" s="201">
        <v>13.726533699892695</v>
      </c>
      <c r="J29" s="201">
        <v>10.5029787860488</v>
      </c>
      <c r="K29" s="229">
        <v>13.586327371168272</v>
      </c>
    </row>
    <row r="30" spans="2:11" ht="11.25">
      <c r="B30" s="115" t="s">
        <v>55</v>
      </c>
      <c r="C30" s="201">
        <v>10390.72059961</v>
      </c>
      <c r="D30" s="201">
        <v>10405.841781385754</v>
      </c>
      <c r="E30" s="201">
        <v>10171.097599504536</v>
      </c>
      <c r="F30" s="201">
        <v>-234.74418188121854</v>
      </c>
      <c r="G30" s="201">
        <v>-219.6230001054646</v>
      </c>
      <c r="H30" s="201">
        <v>-2.255888440482875</v>
      </c>
      <c r="I30" s="201">
        <v>5.0478266754425904</v>
      </c>
      <c r="J30" s="201">
        <v>2.7536445440796253</v>
      </c>
      <c r="K30" s="229">
        <v>-2.1136455166902213</v>
      </c>
    </row>
    <row r="31" spans="2:11" ht="12" thickBot="1">
      <c r="B31" s="121" t="s">
        <v>109</v>
      </c>
      <c r="C31" s="230">
        <v>3.931534494</v>
      </c>
      <c r="D31" s="230">
        <v>3.937073920816438</v>
      </c>
      <c r="E31" s="230">
        <v>3.938109718176986</v>
      </c>
      <c r="F31" s="230">
        <v>0.0010357973605481519</v>
      </c>
      <c r="G31" s="230">
        <v>0.006575224176986083</v>
      </c>
      <c r="H31" s="230">
        <v>0.026308811604262607</v>
      </c>
      <c r="I31" s="230">
        <v>-0.6100243169912423</v>
      </c>
      <c r="J31" s="230">
        <v>0.14089732202253735</v>
      </c>
      <c r="K31" s="270">
        <v>0.1672432020378034</v>
      </c>
    </row>
    <row r="32" spans="2:11" ht="11.25">
      <c r="B32" s="42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2" thickBot="1">
      <c r="B34" s="145"/>
      <c r="C34" s="34"/>
      <c r="D34" s="34"/>
      <c r="E34" s="34"/>
      <c r="F34" s="34"/>
      <c r="G34" s="34"/>
      <c r="H34" s="34"/>
      <c r="I34" s="34"/>
      <c r="J34" s="34"/>
      <c r="K34" s="34"/>
    </row>
    <row r="35" spans="2:11" ht="11.25">
      <c r="B35" s="278" t="s">
        <v>141</v>
      </c>
      <c r="C35" s="279"/>
      <c r="D35" s="279"/>
      <c r="E35" s="279"/>
      <c r="F35" s="279"/>
      <c r="G35" s="279"/>
      <c r="H35" s="279"/>
      <c r="I35" s="279"/>
      <c r="J35" s="279"/>
      <c r="K35" s="280"/>
    </row>
    <row r="36" spans="2:11" ht="11.25">
      <c r="B36" s="290" t="s">
        <v>131</v>
      </c>
      <c r="C36" s="291"/>
      <c r="D36" s="291"/>
      <c r="E36" s="291"/>
      <c r="F36" s="291"/>
      <c r="G36" s="291"/>
      <c r="H36" s="291"/>
      <c r="I36" s="292"/>
      <c r="J36" s="292"/>
      <c r="K36" s="293"/>
    </row>
    <row r="37" spans="2:11" ht="11.25">
      <c r="B37" s="110"/>
      <c r="C37" s="22"/>
      <c r="D37" s="22"/>
      <c r="E37" s="22"/>
      <c r="F37" s="283" t="s">
        <v>113</v>
      </c>
      <c r="G37" s="284"/>
      <c r="H37" s="177" t="s">
        <v>136</v>
      </c>
      <c r="I37" s="281" t="s">
        <v>137</v>
      </c>
      <c r="J37" s="298"/>
      <c r="K37" s="299"/>
    </row>
    <row r="38" spans="2:11" ht="11.25">
      <c r="B38" s="111"/>
      <c r="C38" s="12">
        <f>C25</f>
        <v>39596</v>
      </c>
      <c r="D38" s="12">
        <f>D25</f>
        <v>39931</v>
      </c>
      <c r="E38" s="12">
        <f>E25</f>
        <v>39961</v>
      </c>
      <c r="F38" s="12" t="s">
        <v>116</v>
      </c>
      <c r="G38" s="99" t="s">
        <v>115</v>
      </c>
      <c r="H38" s="99" t="s">
        <v>138</v>
      </c>
      <c r="I38" s="12">
        <f>I25</f>
        <v>39873</v>
      </c>
      <c r="J38" s="12">
        <f>J25</f>
        <v>39904</v>
      </c>
      <c r="K38" s="223">
        <f>K25</f>
        <v>39934</v>
      </c>
    </row>
    <row r="39" spans="2:11" ht="11.25">
      <c r="B39" s="122"/>
      <c r="C39" s="36"/>
      <c r="D39" s="128"/>
      <c r="E39" s="128"/>
      <c r="F39" s="36"/>
      <c r="G39" s="37"/>
      <c r="H39" s="37"/>
      <c r="I39" s="37"/>
      <c r="J39" s="37"/>
      <c r="K39" s="123"/>
    </row>
    <row r="40" spans="2:11" ht="11.25">
      <c r="B40" s="124" t="s">
        <v>152</v>
      </c>
      <c r="C40" s="202">
        <v>30695.48785813</v>
      </c>
      <c r="D40" s="202">
        <v>34024.647677559995</v>
      </c>
      <c r="E40" s="202">
        <v>34121.46835418</v>
      </c>
      <c r="F40" s="202">
        <v>153.5702259099989</v>
      </c>
      <c r="G40" s="202">
        <v>3425.980496049997</v>
      </c>
      <c r="H40" s="202">
        <v>0.2845604090820822</v>
      </c>
      <c r="I40" s="202">
        <v>10.331701323924115</v>
      </c>
      <c r="J40" s="202">
        <v>10.015849177145352</v>
      </c>
      <c r="K40" s="231">
        <v>11.161186008459524</v>
      </c>
    </row>
    <row r="41" spans="2:11" ht="11.25">
      <c r="B41" s="251" t="s">
        <v>50</v>
      </c>
      <c r="C41" s="252">
        <v>0</v>
      </c>
      <c r="D41" s="252">
        <v>429.33044608</v>
      </c>
      <c r="E41" s="252">
        <v>486.07999536999995</v>
      </c>
      <c r="F41" s="252">
        <v>56.74954928999995</v>
      </c>
      <c r="G41" s="252">
        <v>486.07999536999995</v>
      </c>
      <c r="H41" s="252">
        <v>13.21815161448518</v>
      </c>
      <c r="I41" s="252">
        <v>10.331701323924115</v>
      </c>
      <c r="J41" s="252">
        <v>10.015849177145352</v>
      </c>
      <c r="K41" s="253">
        <v>11.161186008459524</v>
      </c>
    </row>
    <row r="42" spans="2:11" ht="11.25">
      <c r="B42" s="125" t="s">
        <v>153</v>
      </c>
      <c r="C42" s="218">
        <v>10108.531427599999</v>
      </c>
      <c r="D42" s="218">
        <v>11839.007952720001</v>
      </c>
      <c r="E42" s="218">
        <v>11687.82414143</v>
      </c>
      <c r="F42" s="218">
        <v>-151.18381129000227</v>
      </c>
      <c r="G42" s="218">
        <v>1579.2927138300001</v>
      </c>
      <c r="H42" s="218">
        <v>-1.276997294822054</v>
      </c>
      <c r="I42" s="218">
        <v>10.717659692748004</v>
      </c>
      <c r="J42" s="218">
        <v>12.674300117186554</v>
      </c>
      <c r="K42" s="232">
        <v>15.623364532635776</v>
      </c>
    </row>
    <row r="43" spans="2:11" ht="11.25">
      <c r="B43" s="126" t="s">
        <v>86</v>
      </c>
      <c r="C43" s="204">
        <v>7871.22980078</v>
      </c>
      <c r="D43" s="204">
        <v>8999.68178013</v>
      </c>
      <c r="E43" s="204">
        <v>8841.07550282</v>
      </c>
      <c r="F43" s="203">
        <v>-158.60627731000022</v>
      </c>
      <c r="G43" s="203">
        <v>969.8457020400001</v>
      </c>
      <c r="H43" s="203">
        <v>-1.7623542830167618</v>
      </c>
      <c r="I43" s="203">
        <v>6.374119501394726</v>
      </c>
      <c r="J43" s="203">
        <v>8.626696885755747</v>
      </c>
      <c r="K43" s="233">
        <v>12.321399915727183</v>
      </c>
    </row>
    <row r="44" spans="2:11" ht="11.25">
      <c r="B44" s="127" t="s">
        <v>87</v>
      </c>
      <c r="C44" s="205">
        <v>2359.69810438</v>
      </c>
      <c r="D44" s="205">
        <v>2703.48292431</v>
      </c>
      <c r="E44" s="205">
        <v>2744.37079824</v>
      </c>
      <c r="F44" s="203">
        <v>40.887873930000296</v>
      </c>
      <c r="G44" s="203">
        <v>384.67269386</v>
      </c>
      <c r="H44" s="203">
        <v>1.5124147285093714</v>
      </c>
      <c r="I44" s="203">
        <v>14.663237491779025</v>
      </c>
      <c r="J44" s="203">
        <v>13.210519655163665</v>
      </c>
      <c r="K44" s="233">
        <v>16.301775771484593</v>
      </c>
    </row>
    <row r="45" spans="2:11" ht="11.25">
      <c r="B45" s="127" t="s">
        <v>88</v>
      </c>
      <c r="C45" s="205">
        <v>1671.13553698</v>
      </c>
      <c r="D45" s="205">
        <v>1863.44052711</v>
      </c>
      <c r="E45" s="205">
        <v>1724.9617608199999</v>
      </c>
      <c r="F45" s="203">
        <v>-138.47876629000007</v>
      </c>
      <c r="G45" s="203">
        <v>53.826223839999784</v>
      </c>
      <c r="H45" s="203">
        <v>-7.431348855805238</v>
      </c>
      <c r="I45" s="203">
        <v>-0.877625021798456</v>
      </c>
      <c r="J45" s="203">
        <v>4.477500712487337</v>
      </c>
      <c r="K45" s="233">
        <v>3.2209370603937915</v>
      </c>
    </row>
    <row r="46" spans="2:11" ht="11.25">
      <c r="B46" s="127" t="s">
        <v>89</v>
      </c>
      <c r="C46" s="205">
        <v>3840.39615942</v>
      </c>
      <c r="D46" s="205">
        <v>4432.75832871</v>
      </c>
      <c r="E46" s="205">
        <v>4371.74294376</v>
      </c>
      <c r="F46" s="203">
        <v>-61.015384949999316</v>
      </c>
      <c r="G46" s="203">
        <v>531.3467843400003</v>
      </c>
      <c r="H46" s="203">
        <v>-1.3764654065351611</v>
      </c>
      <c r="I46" s="203">
        <v>4.956127794867782</v>
      </c>
      <c r="J46" s="203">
        <v>7.764676819761296</v>
      </c>
      <c r="K46" s="233">
        <v>13.83572845829133</v>
      </c>
    </row>
    <row r="47" spans="2:11" ht="11.25">
      <c r="B47" s="126" t="s">
        <v>90</v>
      </c>
      <c r="C47" s="205">
        <v>1365.7730006</v>
      </c>
      <c r="D47" s="205">
        <v>1920.2015956799999</v>
      </c>
      <c r="E47" s="205">
        <v>1923.7836907600001</v>
      </c>
      <c r="F47" s="203">
        <v>3.582095080000272</v>
      </c>
      <c r="G47" s="203">
        <v>558.0106901600002</v>
      </c>
      <c r="H47" s="203">
        <v>0.18654786497725762</v>
      </c>
      <c r="I47" s="203">
        <v>40.80562999397799</v>
      </c>
      <c r="J47" s="203">
        <v>39.87821029085057</v>
      </c>
      <c r="K47" s="233">
        <v>40.85676682105004</v>
      </c>
    </row>
    <row r="48" spans="2:11" ht="11.25">
      <c r="B48" s="126" t="s">
        <v>91</v>
      </c>
      <c r="C48" s="205">
        <v>51.24762622</v>
      </c>
      <c r="D48" s="205">
        <v>59.186929570000004</v>
      </c>
      <c r="E48" s="205">
        <v>57.93050293</v>
      </c>
      <c r="F48" s="203">
        <v>-1.2564266400000008</v>
      </c>
      <c r="G48" s="203">
        <v>6.682876710000002</v>
      </c>
      <c r="H48" s="203">
        <v>-2.122810980613605</v>
      </c>
      <c r="I48" s="203">
        <v>23.374854507498544</v>
      </c>
      <c r="J48" s="203">
        <v>15.305733702772194</v>
      </c>
      <c r="K48" s="233">
        <v>13.040363433247038</v>
      </c>
    </row>
    <row r="49" spans="2:12" ht="11.25">
      <c r="B49" s="126" t="s">
        <v>92</v>
      </c>
      <c r="C49" s="205">
        <v>820.281</v>
      </c>
      <c r="D49" s="205">
        <v>859.9376473400001</v>
      </c>
      <c r="E49" s="205">
        <v>865.0344449199999</v>
      </c>
      <c r="F49" s="203">
        <v>5.096797579999816</v>
      </c>
      <c r="G49" s="203">
        <v>44.75344491999999</v>
      </c>
      <c r="H49" s="203">
        <v>0.5926938535329244</v>
      </c>
      <c r="I49" s="203">
        <v>4.467398283013302</v>
      </c>
      <c r="J49" s="203">
        <v>7.73150452191933</v>
      </c>
      <c r="K49" s="233">
        <v>5.4558675527045075</v>
      </c>
      <c r="L49" s="50"/>
    </row>
    <row r="50" spans="2:13" ht="11.25">
      <c r="B50" s="125" t="s">
        <v>132</v>
      </c>
      <c r="C50" s="217">
        <v>20529.14643053</v>
      </c>
      <c r="D50" s="217">
        <v>22100.76372484</v>
      </c>
      <c r="E50" s="217">
        <v>22347.19121275</v>
      </c>
      <c r="F50" s="218">
        <v>246.42748791000122</v>
      </c>
      <c r="G50" s="218">
        <v>1818.0447822200003</v>
      </c>
      <c r="H50" s="218">
        <v>1.1150179739401076</v>
      </c>
      <c r="I50" s="218">
        <v>10.010930450469967</v>
      </c>
      <c r="J50" s="218">
        <v>8.532773989969055</v>
      </c>
      <c r="K50" s="232">
        <v>8.855919988549976</v>
      </c>
      <c r="L50" s="50"/>
      <c r="M50" s="50"/>
    </row>
    <row r="51" spans="2:11" ht="11.25">
      <c r="B51" s="126" t="s">
        <v>93</v>
      </c>
      <c r="C51" s="206">
        <v>16614.19797057</v>
      </c>
      <c r="D51" s="206">
        <v>18048.03231761</v>
      </c>
      <c r="E51" s="206">
        <v>18300.53414605</v>
      </c>
      <c r="F51" s="203">
        <v>252.50182843999937</v>
      </c>
      <c r="G51" s="203">
        <v>1686.336175479999</v>
      </c>
      <c r="H51" s="203">
        <v>1.3990546115856954</v>
      </c>
      <c r="I51" s="203">
        <v>10.53008314537285</v>
      </c>
      <c r="J51" s="203">
        <v>9.65713018108383</v>
      </c>
      <c r="K51" s="233">
        <v>10.149970395604612</v>
      </c>
    </row>
    <row r="52" spans="2:11" ht="11.25">
      <c r="B52" s="127" t="s">
        <v>87</v>
      </c>
      <c r="C52" s="205">
        <v>13584.96641291</v>
      </c>
      <c r="D52" s="205">
        <v>14554.33950229</v>
      </c>
      <c r="E52" s="205">
        <v>14729.695849009999</v>
      </c>
      <c r="F52" s="203">
        <v>175.35634671999833</v>
      </c>
      <c r="G52" s="203">
        <v>1144.7294360999986</v>
      </c>
      <c r="H52" s="203">
        <v>1.2048389189520246</v>
      </c>
      <c r="I52" s="203">
        <v>9.481594768048907</v>
      </c>
      <c r="J52" s="203">
        <v>8.038377144011388</v>
      </c>
      <c r="K52" s="233">
        <v>8.42644288772143</v>
      </c>
    </row>
    <row r="53" spans="2:11" ht="11.25">
      <c r="B53" s="127" t="s">
        <v>94</v>
      </c>
      <c r="C53" s="205">
        <v>1813.3209094499996</v>
      </c>
      <c r="D53" s="205">
        <v>2237.29138478</v>
      </c>
      <c r="E53" s="205">
        <v>2216.0983109800004</v>
      </c>
      <c r="F53" s="203">
        <v>-21.193073799999638</v>
      </c>
      <c r="G53" s="203">
        <v>402.7774015300008</v>
      </c>
      <c r="H53" s="203">
        <v>-0.9472648017228932</v>
      </c>
      <c r="I53" s="203">
        <v>20.851000181266798</v>
      </c>
      <c r="J53" s="203">
        <v>23.63301745260511</v>
      </c>
      <c r="K53" s="233">
        <v>22.212141239366588</v>
      </c>
    </row>
    <row r="54" spans="2:12" ht="11.25">
      <c r="B54" s="127" t="s">
        <v>89</v>
      </c>
      <c r="C54" s="205">
        <v>1215.91064821</v>
      </c>
      <c r="D54" s="205">
        <v>1256.40143054</v>
      </c>
      <c r="E54" s="205">
        <v>1354.73998606</v>
      </c>
      <c r="F54" s="203">
        <v>98.33855552</v>
      </c>
      <c r="G54" s="203">
        <v>138.82933785</v>
      </c>
      <c r="H54" s="203">
        <v>7.827001237791825</v>
      </c>
      <c r="I54" s="203">
        <v>6.907396596799131</v>
      </c>
      <c r="J54" s="203">
        <v>6.6982778509028895</v>
      </c>
      <c r="K54" s="233">
        <v>11.417725311837446</v>
      </c>
      <c r="L54" s="50"/>
    </row>
    <row r="55" spans="2:11" ht="11.25">
      <c r="B55" s="126" t="s">
        <v>90</v>
      </c>
      <c r="C55" s="205">
        <v>3417.82093079</v>
      </c>
      <c r="D55" s="205">
        <v>3294.33072215</v>
      </c>
      <c r="E55" s="205">
        <v>3285.5599918300004</v>
      </c>
      <c r="F55" s="203">
        <v>-8.77073031999953</v>
      </c>
      <c r="G55" s="203">
        <v>-132.26093895999975</v>
      </c>
      <c r="H55" s="203">
        <v>-0.266237092136136</v>
      </c>
      <c r="I55" s="203">
        <v>0.4453153542063326</v>
      </c>
      <c r="J55" s="203">
        <v>-3.4276661339820325</v>
      </c>
      <c r="K55" s="233">
        <v>-3.8697445430363353</v>
      </c>
    </row>
    <row r="56" spans="2:11" ht="11.25">
      <c r="B56" s="126" t="s">
        <v>91</v>
      </c>
      <c r="C56" s="205">
        <v>95.73952917</v>
      </c>
      <c r="D56" s="205">
        <v>84.90190966</v>
      </c>
      <c r="E56" s="205">
        <v>83.93870052</v>
      </c>
      <c r="F56" s="203">
        <v>-0.9632091400000036</v>
      </c>
      <c r="G56" s="203">
        <v>-11.80082865</v>
      </c>
      <c r="H56" s="203">
        <v>-1.1344964369556485</v>
      </c>
      <c r="I56" s="203">
        <v>-3.4346267704831512</v>
      </c>
      <c r="J56" s="203">
        <v>-10.240017066911234</v>
      </c>
      <c r="K56" s="233">
        <v>-12.325973140149715</v>
      </c>
    </row>
    <row r="57" spans="2:11" ht="11.25">
      <c r="B57" s="126" t="s">
        <v>92</v>
      </c>
      <c r="C57" s="205">
        <v>401.388</v>
      </c>
      <c r="D57" s="205">
        <v>673.4987754200001</v>
      </c>
      <c r="E57" s="205">
        <v>677.1583743499999</v>
      </c>
      <c r="F57" s="203">
        <v>3.659598929999788</v>
      </c>
      <c r="G57" s="203">
        <v>275.77037434999994</v>
      </c>
      <c r="H57" s="203">
        <v>0.5433712819622617</v>
      </c>
      <c r="I57" s="203">
        <v>73.49259841725464</v>
      </c>
      <c r="J57" s="203">
        <v>68.89489011655905</v>
      </c>
      <c r="K57" s="233">
        <v>68.70419004803333</v>
      </c>
    </row>
    <row r="58" spans="2:11" ht="12" thickBot="1">
      <c r="B58" s="219" t="s">
        <v>95</v>
      </c>
      <c r="C58" s="219">
        <v>57.81</v>
      </c>
      <c r="D58" s="219">
        <v>84.876</v>
      </c>
      <c r="E58" s="275">
        <v>86.453</v>
      </c>
      <c r="F58" s="219">
        <v>1.5769999999999982</v>
      </c>
      <c r="G58" s="219">
        <v>28.643</v>
      </c>
      <c r="H58" s="219">
        <v>1.8580046185022834</v>
      </c>
      <c r="I58" s="219">
        <v>53.358041127682924</v>
      </c>
      <c r="J58" s="219">
        <v>50.11142159810409</v>
      </c>
      <c r="K58" s="234">
        <v>49.54679121259298</v>
      </c>
    </row>
    <row r="59" ht="11.25">
      <c r="B59" s="56" t="s">
        <v>130</v>
      </c>
    </row>
    <row r="62" spans="2:11" ht="12">
      <c r="B62" s="294"/>
      <c r="C62" s="295"/>
      <c r="D62" s="295"/>
      <c r="E62" s="295"/>
      <c r="F62" s="295"/>
      <c r="G62" s="295"/>
      <c r="H62" s="295"/>
      <c r="I62" s="295"/>
      <c r="J62" s="295"/>
      <c r="K62" s="295"/>
    </row>
  </sheetData>
  <sheetProtection/>
  <mergeCells count="13">
    <mergeCell ref="B62:K62"/>
    <mergeCell ref="B36:K36"/>
    <mergeCell ref="I24:K24"/>
    <mergeCell ref="I37:K37"/>
    <mergeCell ref="F37:G37"/>
    <mergeCell ref="B35:K35"/>
    <mergeCell ref="B2:K2"/>
    <mergeCell ref="B22:K22"/>
    <mergeCell ref="F4:G4"/>
    <mergeCell ref="F24:G24"/>
    <mergeCell ref="I4:K4"/>
    <mergeCell ref="B3:K3"/>
    <mergeCell ref="B23:K23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57"/>
  <sheetViews>
    <sheetView showGridLines="0" zoomScale="70" zoomScaleNormal="70" workbookViewId="0" topLeftCell="A26">
      <selection activeCell="A4" sqref="A4:N57"/>
    </sheetView>
  </sheetViews>
  <sheetFormatPr defaultColWidth="9.140625" defaultRowHeight="12"/>
  <cols>
    <col min="1" max="16384" width="9.28125" style="1" customWidth="1"/>
  </cols>
  <sheetData>
    <row r="2" spans="1:14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7" ht="15.75">
      <c r="A4" s="247"/>
      <c r="B4" s="300" t="s">
        <v>112</v>
      </c>
      <c r="C4" s="301"/>
      <c r="D4" s="301"/>
      <c r="E4" s="301"/>
      <c r="F4" s="301"/>
      <c r="G4" s="301"/>
      <c r="H4" s="301"/>
      <c r="I4" s="301"/>
      <c r="J4" s="301"/>
      <c r="K4" s="301"/>
      <c r="L4" s="302"/>
      <c r="M4" s="302"/>
      <c r="N4" s="247"/>
      <c r="O4" s="248"/>
      <c r="P4" s="248"/>
      <c r="Q4" s="248"/>
    </row>
    <row r="5" spans="1:17" ht="15.75">
      <c r="A5" s="247"/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4"/>
      <c r="M5" s="144"/>
      <c r="N5" s="247"/>
      <c r="O5" s="248"/>
      <c r="P5" s="248"/>
      <c r="Q5" s="248"/>
    </row>
    <row r="6" spans="1:17" ht="15">
      <c r="A6" s="247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8"/>
      <c r="P6" s="248"/>
      <c r="Q6" s="248"/>
    </row>
    <row r="7" spans="1:17" ht="15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8"/>
      <c r="P7" s="248"/>
      <c r="Q7" s="248"/>
    </row>
    <row r="8" spans="1:17" ht="15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8"/>
      <c r="P8" s="248"/>
      <c r="Q8" s="248"/>
    </row>
    <row r="9" spans="1:17" ht="15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8"/>
      <c r="P9" s="248"/>
      <c r="Q9" s="248"/>
    </row>
    <row r="10" spans="1:17" ht="15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8"/>
      <c r="P10" s="248"/>
      <c r="Q10" s="248"/>
    </row>
    <row r="11" spans="1:17" ht="15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8"/>
      <c r="P11" s="248"/>
      <c r="Q11" s="248"/>
    </row>
    <row r="12" spans="1:17" ht="15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8"/>
      <c r="P12" s="248"/>
      <c r="Q12" s="248"/>
    </row>
    <row r="13" spans="1:17" ht="15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8"/>
      <c r="P13" s="248"/>
      <c r="Q13" s="248"/>
    </row>
    <row r="14" spans="1:17" ht="15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8"/>
      <c r="P14" s="248"/>
      <c r="Q14" s="248"/>
    </row>
    <row r="15" spans="1:17" ht="15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8"/>
      <c r="P15" s="248"/>
      <c r="Q15" s="248"/>
    </row>
    <row r="16" spans="1:17" ht="15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8"/>
      <c r="P16" s="248"/>
      <c r="Q16" s="248"/>
    </row>
    <row r="17" spans="1:17" ht="15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8"/>
      <c r="P17" s="248"/>
      <c r="Q17" s="248"/>
    </row>
    <row r="18" spans="1:17" ht="15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8"/>
      <c r="P18" s="248"/>
      <c r="Q18" s="248"/>
    </row>
    <row r="19" spans="1:17" ht="15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8"/>
      <c r="P19" s="248"/>
      <c r="Q19" s="248"/>
    </row>
    <row r="20" spans="1:17" ht="15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8"/>
      <c r="P20" s="248"/>
      <c r="Q20" s="248"/>
    </row>
    <row r="21" spans="1:17" ht="15">
      <c r="A21" s="248"/>
      <c r="B21" s="248"/>
      <c r="C21" s="248"/>
      <c r="D21" s="247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</row>
    <row r="22" spans="1:17" ht="15">
      <c r="A22" s="248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</row>
    <row r="23" spans="1:17" ht="15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</row>
    <row r="24" spans="1:17" ht="1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</row>
    <row r="25" spans="1:17" ht="15.75">
      <c r="A25" s="300"/>
      <c r="B25" s="301"/>
      <c r="C25" s="301"/>
      <c r="D25" s="301"/>
      <c r="E25" s="301"/>
      <c r="F25" s="301"/>
      <c r="G25" s="301"/>
      <c r="H25" s="301"/>
      <c r="I25" s="301"/>
      <c r="J25" s="301"/>
      <c r="K25" s="302"/>
      <c r="L25" s="302"/>
      <c r="M25" s="248"/>
      <c r="N25" s="248"/>
      <c r="O25" s="248"/>
      <c r="P25" s="248"/>
      <c r="Q25" s="248"/>
    </row>
    <row r="26" spans="1:17" ht="15">
      <c r="A26" s="248"/>
      <c r="B26" s="249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</row>
    <row r="27" spans="1:17" ht="15">
      <c r="A27" s="248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8"/>
      <c r="N27" s="248"/>
      <c r="O27" s="248"/>
      <c r="P27" s="248"/>
      <c r="Q27" s="248"/>
    </row>
    <row r="28" spans="1:17" ht="15">
      <c r="A28" s="248"/>
      <c r="N28" s="248"/>
      <c r="O28" s="248"/>
      <c r="P28" s="248"/>
      <c r="Q28" s="248"/>
    </row>
    <row r="29" spans="1:17" ht="16.5">
      <c r="A29" s="248"/>
      <c r="B29" s="303" t="s">
        <v>144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248"/>
      <c r="O29" s="248"/>
      <c r="P29" s="248"/>
      <c r="Q29" s="248"/>
    </row>
    <row r="30" spans="1:17" ht="15">
      <c r="A30" s="248"/>
      <c r="N30" s="248"/>
      <c r="O30" s="248"/>
      <c r="P30" s="248"/>
      <c r="Q30" s="248"/>
    </row>
    <row r="31" spans="1:17" ht="15">
      <c r="A31" s="248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8"/>
      <c r="N31" s="248"/>
      <c r="O31" s="248"/>
      <c r="P31" s="248"/>
      <c r="Q31" s="248"/>
    </row>
    <row r="32" spans="1:17" ht="15">
      <c r="A32" s="248"/>
      <c r="B32" s="248"/>
      <c r="C32" s="248"/>
      <c r="D32" s="248"/>
      <c r="E32" s="248"/>
      <c r="F32" s="249"/>
      <c r="G32" s="249"/>
      <c r="H32" s="249"/>
      <c r="I32" s="249"/>
      <c r="J32" s="249"/>
      <c r="K32" s="249"/>
      <c r="L32" s="249"/>
      <c r="M32" s="248"/>
      <c r="N32" s="248"/>
      <c r="O32" s="248"/>
      <c r="P32" s="248"/>
      <c r="Q32" s="248"/>
    </row>
    <row r="33" spans="1:17" ht="15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</row>
    <row r="34" spans="1:17" ht="15">
      <c r="A34" s="248"/>
      <c r="N34" s="248"/>
      <c r="O34" s="248"/>
      <c r="P34" s="248"/>
      <c r="Q34" s="248"/>
    </row>
    <row r="35" spans="1:17" ht="15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</row>
    <row r="36" spans="1:17" ht="15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</row>
    <row r="37" spans="1:17" ht="15">
      <c r="A37" s="248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</row>
    <row r="38" spans="1:17" ht="15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</row>
    <row r="39" spans="1:17" ht="15">
      <c r="A39" s="248"/>
      <c r="N39" s="248"/>
      <c r="O39" s="248"/>
      <c r="P39" s="248"/>
      <c r="Q39" s="248"/>
    </row>
    <row r="40" spans="1:17" ht="15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</row>
    <row r="41" spans="1:17" ht="15">
      <c r="A41" s="248"/>
      <c r="N41" s="248"/>
      <c r="O41" s="248"/>
      <c r="P41" s="248"/>
      <c r="Q41" s="248"/>
    </row>
    <row r="42" spans="1:17" ht="15">
      <c r="A42" s="248"/>
      <c r="N42" s="248"/>
      <c r="O42" s="248"/>
      <c r="P42" s="248"/>
      <c r="Q42" s="248"/>
    </row>
    <row r="43" spans="1:17" ht="15">
      <c r="A43" s="248"/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</row>
    <row r="44" spans="1:17" ht="15">
      <c r="A44" s="248"/>
      <c r="B44" s="248"/>
      <c r="C44" s="250"/>
      <c r="D44" s="250"/>
      <c r="E44" s="250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</row>
    <row r="45" spans="1:17" ht="15">
      <c r="A45" s="248"/>
      <c r="B45" s="248"/>
      <c r="C45" s="250"/>
      <c r="D45" s="250"/>
      <c r="E45" s="250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</row>
    <row r="46" spans="1:17" ht="15">
      <c r="A46" s="248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</row>
    <row r="47" spans="1:17" ht="15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</row>
    <row r="48" spans="1:17" ht="15">
      <c r="A48" s="24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</row>
    <row r="49" spans="1:17" ht="15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</row>
    <row r="50" spans="1:17" ht="15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</row>
    <row r="51" spans="1:17" ht="15">
      <c r="A51" s="248"/>
      <c r="C51" s="15"/>
      <c r="D51" s="263"/>
      <c r="E51" s="263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</row>
    <row r="52" spans="1:17" ht="15">
      <c r="A52" s="248"/>
      <c r="C52" s="15"/>
      <c r="D52" s="263"/>
      <c r="E52" s="263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</row>
    <row r="53" spans="1:17" ht="15">
      <c r="A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</row>
    <row r="54" spans="1:17" ht="15">
      <c r="A54" s="248"/>
      <c r="B54" s="262" t="s">
        <v>82</v>
      </c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</row>
    <row r="55" spans="1:17" ht="15">
      <c r="A55" s="248"/>
      <c r="B55" s="264" t="s">
        <v>129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</row>
    <row r="56" spans="1:17" ht="15">
      <c r="A56" s="248"/>
      <c r="C56" s="250"/>
      <c r="D56" s="250"/>
      <c r="E56" s="250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</row>
    <row r="57" spans="2:5" ht="15">
      <c r="B57" s="176"/>
      <c r="C57" s="102"/>
      <c r="D57" s="102"/>
      <c r="E57" s="102"/>
    </row>
  </sheetData>
  <sheetProtection/>
  <mergeCells count="3">
    <mergeCell ref="B4:M4"/>
    <mergeCell ref="A25:L25"/>
    <mergeCell ref="B29:M29"/>
  </mergeCells>
  <printOptions horizontalCentered="1"/>
  <pageMargins left="0.43" right="0.29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5"/>
  <sheetViews>
    <sheetView showGridLines="0" zoomScale="80" zoomScaleNormal="80" zoomScalePageLayoutView="0" workbookViewId="0" topLeftCell="A17">
      <selection activeCell="A2" sqref="A2:O75"/>
    </sheetView>
  </sheetViews>
  <sheetFormatPr defaultColWidth="9.140625" defaultRowHeight="12"/>
  <sheetData>
    <row r="2" spans="2:13" ht="12.75">
      <c r="B2" s="305" t="s">
        <v>128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26" ht="11.25">
      <c r="A26" s="179"/>
    </row>
    <row r="29" ht="11.25">
      <c r="B29" s="102"/>
    </row>
    <row r="30" spans="2:13" ht="12.75">
      <c r="B30" s="305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</row>
    <row r="51" spans="3:14" ht="12.75">
      <c r="C51" s="305" t="s">
        <v>139</v>
      </c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</row>
    <row r="95" ht="11.25">
      <c r="B95" s="102" t="s">
        <v>118</v>
      </c>
    </row>
  </sheetData>
  <sheetProtection/>
  <mergeCells count="3">
    <mergeCell ref="B2:M2"/>
    <mergeCell ref="C51:N51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87"/>
  <sheetViews>
    <sheetView showGridLines="0" zoomScale="80" zoomScaleNormal="80" zoomScaleSheetLayoutView="75" zoomScalePageLayoutView="0" workbookViewId="0" topLeftCell="A1">
      <selection activeCell="D12" sqref="D12"/>
    </sheetView>
  </sheetViews>
  <sheetFormatPr defaultColWidth="9.140625" defaultRowHeight="12"/>
  <cols>
    <col min="1" max="1" width="83.140625" style="2" customWidth="1"/>
    <col min="2" max="3" width="10.14062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46</v>
      </c>
    </row>
    <row r="2" spans="1:4" ht="12.75" thickBot="1">
      <c r="A2" s="3" t="s">
        <v>2</v>
      </c>
      <c r="B2" s="47">
        <v>39906</v>
      </c>
      <c r="C2" s="47">
        <v>39937</v>
      </c>
      <c r="D2" s="4"/>
    </row>
    <row r="3" spans="1:4" ht="12">
      <c r="A3" s="5"/>
      <c r="B3" s="32"/>
      <c r="C3" s="32"/>
      <c r="D3" s="4"/>
    </row>
    <row r="4" spans="1:4" ht="12">
      <c r="A4" s="5" t="s">
        <v>3</v>
      </c>
      <c r="B4" s="33">
        <v>8</v>
      </c>
      <c r="C4" s="33">
        <v>7.5</v>
      </c>
      <c r="D4" s="4"/>
    </row>
    <row r="5" spans="1:4" ht="12">
      <c r="A5" s="5"/>
      <c r="B5" s="33"/>
      <c r="C5" s="33"/>
      <c r="D5" s="4"/>
    </row>
    <row r="6" spans="1:4" ht="12">
      <c r="A6" s="5" t="s">
        <v>41</v>
      </c>
      <c r="B6" s="33">
        <v>12.75</v>
      </c>
      <c r="C6" s="33">
        <v>11.94</v>
      </c>
      <c r="D6" s="4"/>
    </row>
    <row r="7" spans="1:4" ht="12">
      <c r="A7" s="5"/>
      <c r="B7" s="33"/>
      <c r="C7" s="33"/>
      <c r="D7" s="4"/>
    </row>
    <row r="8" spans="1:4" ht="12">
      <c r="A8" s="5" t="s">
        <v>4</v>
      </c>
      <c r="B8" s="33">
        <v>12.75</v>
      </c>
      <c r="C8" s="33">
        <v>11.94</v>
      </c>
      <c r="D8" s="4"/>
    </row>
    <row r="9" spans="1:4" ht="12">
      <c r="A9" s="5"/>
      <c r="B9" s="33"/>
      <c r="C9" s="33"/>
      <c r="D9" s="4"/>
    </row>
    <row r="10" spans="1:4" ht="12">
      <c r="A10" s="5" t="s">
        <v>105</v>
      </c>
      <c r="B10" s="51">
        <v>11.35</v>
      </c>
      <c r="C10" s="51">
        <v>11.19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5</v>
      </c>
      <c r="B12" s="51">
        <v>6.84</v>
      </c>
      <c r="C12" s="51">
        <v>6.48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6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7</v>
      </c>
      <c r="B16" s="51">
        <v>8.819</v>
      </c>
      <c r="C16" s="51">
        <v>8.819</v>
      </c>
    </row>
    <row r="17" spans="1:3" ht="12">
      <c r="A17" s="5" t="s">
        <v>40</v>
      </c>
      <c r="B17" s="51">
        <v>9.33</v>
      </c>
      <c r="C17" s="51">
        <v>8.67036</v>
      </c>
    </row>
    <row r="18" spans="1:3" ht="12">
      <c r="A18" s="5" t="s">
        <v>8</v>
      </c>
      <c r="B18" s="51">
        <v>150</v>
      </c>
      <c r="C18" s="51">
        <v>150</v>
      </c>
    </row>
    <row r="19" spans="1:3" ht="12">
      <c r="A19" s="5" t="s">
        <v>9</v>
      </c>
      <c r="B19" s="51">
        <v>150</v>
      </c>
      <c r="C19" s="51">
        <v>150</v>
      </c>
    </row>
    <row r="20" spans="1:3" ht="12">
      <c r="A20" s="5"/>
      <c r="B20" s="33"/>
      <c r="C20" s="33"/>
    </row>
    <row r="21" spans="1:3" ht="12">
      <c r="A21" s="6" t="s">
        <v>10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7</v>
      </c>
      <c r="B23" s="51">
        <v>7.88</v>
      </c>
      <c r="C23" s="51">
        <v>7.58</v>
      </c>
    </row>
    <row r="24" spans="1:3" ht="12">
      <c r="A24" s="5" t="s">
        <v>39</v>
      </c>
      <c r="B24" s="51">
        <v>8.37</v>
      </c>
      <c r="C24" s="51">
        <v>8.03</v>
      </c>
    </row>
    <row r="25" spans="1:3" ht="12">
      <c r="A25" s="5" t="s">
        <v>8</v>
      </c>
      <c r="B25" s="51">
        <v>150</v>
      </c>
      <c r="C25" s="51">
        <v>150</v>
      </c>
    </row>
    <row r="26" spans="1:3" ht="12">
      <c r="A26" s="5" t="s">
        <v>9</v>
      </c>
      <c r="B26" s="51">
        <v>150</v>
      </c>
      <c r="C26" s="51">
        <v>150</v>
      </c>
    </row>
    <row r="27" spans="1:3" ht="12">
      <c r="A27" s="5"/>
      <c r="B27" s="33"/>
      <c r="C27" s="33"/>
    </row>
    <row r="28" spans="1:3" ht="12">
      <c r="A28" s="6" t="s">
        <v>42</v>
      </c>
      <c r="B28" s="33"/>
      <c r="C28" s="33"/>
    </row>
    <row r="29" spans="1:3" ht="12">
      <c r="A29" s="5"/>
      <c r="B29" s="49"/>
      <c r="C29" s="49"/>
    </row>
    <row r="30" spans="1:3" ht="12">
      <c r="A30" s="5" t="s">
        <v>7</v>
      </c>
      <c r="B30" s="51">
        <v>7.79</v>
      </c>
      <c r="C30" s="51">
        <v>7.56</v>
      </c>
    </row>
    <row r="31" spans="1:3" ht="12">
      <c r="A31" s="5" t="s">
        <v>39</v>
      </c>
      <c r="B31" s="51">
        <v>8.45</v>
      </c>
      <c r="C31" s="51">
        <v>8.16</v>
      </c>
    </row>
    <row r="32" spans="1:3" ht="12">
      <c r="A32" s="5" t="s">
        <v>8</v>
      </c>
      <c r="B32" s="51">
        <v>150</v>
      </c>
      <c r="C32" s="51">
        <v>250</v>
      </c>
    </row>
    <row r="33" spans="1:3" ht="12">
      <c r="A33" s="5" t="s">
        <v>9</v>
      </c>
      <c r="B33" s="51">
        <v>150</v>
      </c>
      <c r="C33" s="51">
        <v>250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43</v>
      </c>
      <c r="B37" s="180">
        <v>3540</v>
      </c>
      <c r="C37" s="180">
        <v>3540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106"/>
      <c r="C40" s="106"/>
    </row>
    <row r="41" spans="1:3" ht="12.75" thickBot="1">
      <c r="A41" s="3" t="s">
        <v>11</v>
      </c>
      <c r="B41" s="47">
        <f>B2</f>
        <v>39906</v>
      </c>
      <c r="C41" s="47">
        <f>C2</f>
        <v>39937</v>
      </c>
    </row>
    <row r="42" spans="1:3" ht="12">
      <c r="A42" s="5"/>
      <c r="B42" s="107"/>
      <c r="C42" s="107"/>
    </row>
    <row r="43" spans="1:3" ht="12">
      <c r="A43" s="6" t="s">
        <v>12</v>
      </c>
      <c r="B43" s="30"/>
      <c r="C43" s="30"/>
    </row>
    <row r="44" spans="1:3" ht="12">
      <c r="A44" s="7" t="s">
        <v>84</v>
      </c>
      <c r="B44" s="30"/>
      <c r="C44" s="30"/>
    </row>
    <row r="45" spans="1:3" ht="12">
      <c r="A45" s="5" t="s">
        <v>13</v>
      </c>
      <c r="B45" s="48">
        <v>8.82</v>
      </c>
      <c r="C45" s="48">
        <v>8.82</v>
      </c>
    </row>
    <row r="46" spans="1:3" ht="12">
      <c r="A46" s="5" t="s">
        <v>8</v>
      </c>
      <c r="B46" s="48">
        <v>8</v>
      </c>
      <c r="C46" s="48">
        <v>8</v>
      </c>
    </row>
    <row r="47" spans="1:3" ht="12">
      <c r="A47" s="5" t="s">
        <v>9</v>
      </c>
      <c r="B47" s="48">
        <v>0</v>
      </c>
      <c r="C47" s="48">
        <v>0</v>
      </c>
    </row>
    <row r="48" spans="1:3" ht="12">
      <c r="A48" s="5"/>
      <c r="B48" s="33"/>
      <c r="C48" s="33"/>
    </row>
    <row r="49" spans="1:3" ht="12">
      <c r="A49" s="5" t="s">
        <v>14</v>
      </c>
      <c r="B49" s="180">
        <v>5805.68</v>
      </c>
      <c r="C49" s="180">
        <v>5806.68</v>
      </c>
    </row>
    <row r="50" spans="1:3" ht="12.75" thickBot="1">
      <c r="A50" s="5"/>
      <c r="B50" s="106"/>
      <c r="C50" s="106"/>
    </row>
    <row r="51" spans="1:3" ht="12.75" thickBot="1">
      <c r="A51" s="3" t="s">
        <v>15</v>
      </c>
      <c r="B51" s="47">
        <f>B41</f>
        <v>39906</v>
      </c>
      <c r="C51" s="47">
        <f>C41</f>
        <v>39937</v>
      </c>
    </row>
    <row r="52" spans="1:3" ht="12">
      <c r="A52" s="5"/>
      <c r="B52" s="107"/>
      <c r="C52" s="107"/>
    </row>
    <row r="53" spans="1:3" ht="12">
      <c r="A53" s="6" t="s">
        <v>16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17</v>
      </c>
      <c r="B55" s="180">
        <v>6</v>
      </c>
      <c r="C55" s="180">
        <v>23.52</v>
      </c>
      <c r="D55" s="8"/>
    </row>
    <row r="56" spans="1:9" ht="12">
      <c r="A56" s="5" t="s">
        <v>18</v>
      </c>
      <c r="B56" s="181">
        <v>185.3</v>
      </c>
      <c r="C56" s="181">
        <v>429.83</v>
      </c>
      <c r="D56" s="8"/>
      <c r="G56" s="9"/>
      <c r="I56" s="9"/>
    </row>
    <row r="57" spans="1:4" ht="12">
      <c r="A57" s="5" t="s">
        <v>19</v>
      </c>
      <c r="B57" s="181">
        <v>478.83</v>
      </c>
      <c r="C57" s="181">
        <v>588.59</v>
      </c>
      <c r="D57" s="10"/>
    </row>
    <row r="58" spans="1:4" ht="12">
      <c r="A58" s="5" t="s">
        <v>20</v>
      </c>
      <c r="B58" s="181">
        <v>702</v>
      </c>
      <c r="C58" s="181">
        <v>773.6</v>
      </c>
      <c r="D58" s="10"/>
    </row>
    <row r="59" spans="1:4" ht="12">
      <c r="A59" s="5" t="s">
        <v>21</v>
      </c>
      <c r="B59" s="181">
        <v>277.62</v>
      </c>
      <c r="C59" s="277">
        <v>334.32</v>
      </c>
      <c r="D59" s="10"/>
    </row>
    <row r="60" spans="1:9" ht="12">
      <c r="A60" s="5" t="s">
        <v>22</v>
      </c>
      <c r="B60" s="181">
        <v>368.85</v>
      </c>
      <c r="C60" s="181">
        <v>379.75</v>
      </c>
      <c r="D60" s="10"/>
      <c r="G60" s="9"/>
      <c r="I60" s="9"/>
    </row>
    <row r="61" spans="1:9" ht="12">
      <c r="A61" s="5" t="s">
        <v>23</v>
      </c>
      <c r="B61" s="181">
        <v>9.383</v>
      </c>
      <c r="C61" s="181">
        <v>9.62</v>
      </c>
      <c r="D61" s="10"/>
      <c r="G61" s="9"/>
      <c r="I61" s="9"/>
    </row>
    <row r="62" spans="1:3" ht="12">
      <c r="A62" s="5" t="s">
        <v>24</v>
      </c>
      <c r="B62" s="181">
        <v>43.263</v>
      </c>
      <c r="C62" s="181">
        <v>46.71</v>
      </c>
    </row>
    <row r="63" spans="1:3" ht="12">
      <c r="A63" s="5" t="s">
        <v>25</v>
      </c>
      <c r="B63" s="181">
        <v>2.891</v>
      </c>
      <c r="C63" s="181">
        <v>3.2</v>
      </c>
    </row>
    <row r="64" spans="1:3" ht="12">
      <c r="A64" s="5"/>
      <c r="B64" s="181"/>
      <c r="C64" s="181"/>
    </row>
    <row r="65" spans="1:3" ht="12">
      <c r="A65" s="6" t="s">
        <v>26</v>
      </c>
      <c r="B65" s="181"/>
      <c r="C65" s="181"/>
    </row>
    <row r="66" spans="1:4" ht="12">
      <c r="A66" s="5"/>
      <c r="B66" s="181"/>
      <c r="C66" s="181"/>
      <c r="D66" s="8"/>
    </row>
    <row r="67" spans="1:4" ht="12">
      <c r="A67" s="5" t="s">
        <v>17</v>
      </c>
      <c r="B67" s="181">
        <v>0.188</v>
      </c>
      <c r="C67" s="181">
        <v>7.54</v>
      </c>
      <c r="D67" s="8"/>
    </row>
    <row r="68" spans="1:4" ht="12">
      <c r="A68" s="5" t="s">
        <v>18</v>
      </c>
      <c r="B68" s="181">
        <v>1.931</v>
      </c>
      <c r="C68" s="181">
        <v>86.03</v>
      </c>
      <c r="D68" s="9"/>
    </row>
    <row r="69" spans="1:4" ht="12">
      <c r="A69" s="5" t="s">
        <v>19</v>
      </c>
      <c r="B69" s="181">
        <v>159.37</v>
      </c>
      <c r="C69" s="181">
        <v>159.16</v>
      </c>
      <c r="D69" s="9"/>
    </row>
    <row r="70" spans="1:4" ht="12">
      <c r="A70" s="5" t="s">
        <v>20</v>
      </c>
      <c r="B70" s="51">
        <v>5.773</v>
      </c>
      <c r="C70" s="51">
        <v>5.77</v>
      </c>
      <c r="D70" s="9"/>
    </row>
    <row r="71" spans="1:4" ht="12">
      <c r="A71" s="5" t="s">
        <v>21</v>
      </c>
      <c r="B71" s="33">
        <v>0</v>
      </c>
      <c r="C71" s="33">
        <v>0</v>
      </c>
      <c r="D71" s="9"/>
    </row>
    <row r="72" spans="1:4" ht="12">
      <c r="A72" s="5" t="s">
        <v>22</v>
      </c>
      <c r="B72" s="33">
        <v>4525</v>
      </c>
      <c r="C72" s="33">
        <v>4520.48</v>
      </c>
      <c r="D72" s="9"/>
    </row>
    <row r="73" spans="1:3" ht="12">
      <c r="A73" s="5" t="s">
        <v>23</v>
      </c>
      <c r="B73" s="33">
        <v>1.198</v>
      </c>
      <c r="C73" s="33">
        <v>1.2</v>
      </c>
    </row>
    <row r="74" spans="1:3" ht="12">
      <c r="A74" s="5" t="s">
        <v>24</v>
      </c>
      <c r="B74" s="33">
        <v>0.51</v>
      </c>
      <c r="C74" s="33">
        <v>0.49</v>
      </c>
    </row>
    <row r="75" spans="1:3" ht="12">
      <c r="A75" s="5" t="s">
        <v>25</v>
      </c>
      <c r="B75" s="33">
        <v>0</v>
      </c>
      <c r="C75" s="33">
        <v>0</v>
      </c>
    </row>
    <row r="76" spans="1:3" ht="12">
      <c r="A76" s="5"/>
      <c r="B76" s="33"/>
      <c r="C76" s="33"/>
    </row>
    <row r="77" spans="1:3" ht="12">
      <c r="A77" s="6" t="s">
        <v>142</v>
      </c>
      <c r="B77" s="33"/>
      <c r="C77" s="33"/>
    </row>
    <row r="78" spans="1:3" ht="12">
      <c r="A78" s="5" t="s">
        <v>143</v>
      </c>
      <c r="B78" s="33">
        <v>0.725</v>
      </c>
      <c r="C78" s="33">
        <v>80</v>
      </c>
    </row>
    <row r="79" spans="1:3" ht="12">
      <c r="A79" s="5" t="s">
        <v>20</v>
      </c>
      <c r="B79" s="33">
        <v>6.296</v>
      </c>
      <c r="C79" s="33">
        <v>7.24</v>
      </c>
    </row>
    <row r="80" spans="1:3" ht="12.75" thickBot="1">
      <c r="A80" s="5"/>
      <c r="B80" s="33"/>
      <c r="C80" s="33"/>
    </row>
    <row r="81" spans="1:3" ht="12.75" thickBot="1">
      <c r="A81" s="3" t="s">
        <v>83</v>
      </c>
      <c r="B81" s="47">
        <f>B51</f>
        <v>39906</v>
      </c>
      <c r="C81" s="47">
        <f>C51</f>
        <v>39937</v>
      </c>
    </row>
    <row r="82" spans="1:3" ht="12">
      <c r="A82" s="5"/>
      <c r="B82" s="107"/>
      <c r="C82" s="107"/>
    </row>
    <row r="83" spans="1:3" ht="12">
      <c r="A83" s="5" t="s">
        <v>27</v>
      </c>
      <c r="B83" s="105">
        <v>10</v>
      </c>
      <c r="C83" s="105">
        <v>9.6</v>
      </c>
    </row>
    <row r="84" spans="1:3" ht="12">
      <c r="A84" s="5" t="s">
        <v>28</v>
      </c>
      <c r="B84" s="105">
        <v>3.9</v>
      </c>
      <c r="C84" s="105">
        <v>4.3</v>
      </c>
    </row>
    <row r="85" spans="1:3" ht="12.75" thickBot="1">
      <c r="A85" s="11" t="s">
        <v>29</v>
      </c>
      <c r="B85" s="53">
        <v>0.6</v>
      </c>
      <c r="C85" s="53">
        <v>0.4</v>
      </c>
    </row>
    <row r="86" ht="12">
      <c r="A86" s="2" t="s">
        <v>110</v>
      </c>
    </row>
    <row r="87" ht="12">
      <c r="A87" s="2" t="s">
        <v>117</v>
      </c>
    </row>
  </sheetData>
  <sheetProtection/>
  <printOptions horizontalCentered="1"/>
  <pageMargins left="0.5" right="0.5" top="0.61" bottom="0.74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P108"/>
  <sheetViews>
    <sheetView showGridLines="0" zoomScale="80" zoomScaleNormal="80" zoomScaleSheetLayoutView="75" zoomScalePageLayoutView="0" workbookViewId="0" topLeftCell="A34">
      <selection activeCell="A4" sqref="A4:P84"/>
    </sheetView>
  </sheetViews>
  <sheetFormatPr defaultColWidth="9.140625" defaultRowHeight="12"/>
  <cols>
    <col min="1" max="1" width="3.421875" style="0" customWidth="1"/>
  </cols>
  <sheetData>
    <row r="2" spans="4:14" ht="15.75">
      <c r="D2" s="310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2:12" ht="20.25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</row>
    <row r="4" spans="1:16" ht="20.25">
      <c r="A4" s="14"/>
      <c r="B4" s="312" t="s">
        <v>111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14"/>
      <c r="N4" s="14"/>
      <c r="O4" s="14"/>
      <c r="P4" s="14"/>
    </row>
    <row r="5" spans="1:16" ht="18">
      <c r="A5" s="14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97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B27" s="130"/>
      <c r="C27" s="103"/>
      <c r="D27" s="9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>
      <c r="A28" s="14"/>
      <c r="B28" s="96"/>
      <c r="C28" s="97"/>
      <c r="D28" s="97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:16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.75">
      <c r="A36" s="14"/>
      <c r="C36" s="10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M37" s="14"/>
      <c r="N37" s="14"/>
      <c r="O37" s="14"/>
      <c r="P37" s="14"/>
    </row>
    <row r="38" spans="1:16" ht="15">
      <c r="A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20.25">
      <c r="B39" s="312" t="s">
        <v>140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14"/>
      <c r="N39" s="14"/>
      <c r="O39" s="14"/>
      <c r="P39" s="14"/>
    </row>
    <row r="40" spans="1:16" ht="15">
      <c r="A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>
      <c r="A42" s="14"/>
      <c r="M42" s="14"/>
      <c r="N42" s="14"/>
      <c r="O42" s="14"/>
      <c r="P42" s="14"/>
    </row>
    <row r="43" spans="1:16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5">
      <c r="A50" s="14"/>
      <c r="B50" s="14"/>
      <c r="N50" s="14"/>
      <c r="O50" s="14"/>
      <c r="P50" s="14"/>
    </row>
    <row r="51" spans="1:16" ht="15">
      <c r="A51" s="14"/>
      <c r="C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5">
      <c r="A53" s="14"/>
      <c r="B53" s="14"/>
      <c r="N53" s="14"/>
      <c r="O53" s="14"/>
      <c r="P53" s="14"/>
    </row>
    <row r="54" spans="1:16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5">
      <c r="A55" s="14"/>
      <c r="M55" s="14"/>
      <c r="N55" s="14"/>
      <c r="O55" s="14"/>
      <c r="P55" s="14"/>
    </row>
    <row r="56" spans="1:16" ht="15">
      <c r="A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5">
      <c r="A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69" ht="15">
      <c r="B69" s="129" t="s">
        <v>107</v>
      </c>
    </row>
    <row r="73" spans="2:12" ht="20.25">
      <c r="B73" s="308" t="s">
        <v>168</v>
      </c>
      <c r="C73" s="309"/>
      <c r="D73" s="309"/>
      <c r="E73" s="309"/>
      <c r="F73" s="309"/>
      <c r="G73" s="309"/>
      <c r="H73" s="309"/>
      <c r="I73" s="309"/>
      <c r="J73" s="309"/>
      <c r="K73" s="309"/>
      <c r="L73" s="309"/>
    </row>
    <row r="97" spans="3:5" ht="11.25">
      <c r="C97" s="131"/>
      <c r="D97" s="131"/>
      <c r="E97" s="131"/>
    </row>
    <row r="108" ht="15">
      <c r="B108" s="129" t="s">
        <v>108</v>
      </c>
    </row>
  </sheetData>
  <sheetProtection/>
  <mergeCells count="6">
    <mergeCell ref="A7:J7"/>
    <mergeCell ref="B73:L73"/>
    <mergeCell ref="D2:N2"/>
    <mergeCell ref="B4:L4"/>
    <mergeCell ref="B3:L3"/>
    <mergeCell ref="B39:L39"/>
  </mergeCells>
  <printOptions horizontalCentered="1"/>
  <pageMargins left="0.17" right="0.6" top="0.42" bottom="0.5" header="0.44" footer="0.5"/>
  <pageSetup fitToWidth="2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Z21"/>
  <sheetViews>
    <sheetView showGridLines="0" zoomScale="90" zoomScaleNormal="90" zoomScaleSheetLayoutView="75" zoomScalePageLayoutView="0" workbookViewId="0" topLeftCell="A1">
      <pane xSplit="59" ySplit="4" topLeftCell="BV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BO20" sqref="BO20"/>
    </sheetView>
  </sheetViews>
  <sheetFormatPr defaultColWidth="9.140625" defaultRowHeight="19.5" customHeight="1"/>
  <cols>
    <col min="1" max="1" width="4.7109375" style="31" customWidth="1"/>
    <col min="2" max="2" width="57.8515625" style="31" customWidth="1"/>
    <col min="3" max="7" width="9.8515625" style="31" hidden="1" customWidth="1"/>
    <col min="8" max="8" width="11.28125" style="31" hidden="1" customWidth="1"/>
    <col min="9" max="9" width="11.8515625" style="31" hidden="1" customWidth="1"/>
    <col min="10" max="11" width="9.8515625" style="31" hidden="1" customWidth="1"/>
    <col min="12" max="12" width="11.140625" style="31" hidden="1" customWidth="1"/>
    <col min="13" max="13" width="11.421875" style="31" hidden="1" customWidth="1"/>
    <col min="14" max="14" width="11.00390625" style="31" hidden="1" customWidth="1"/>
    <col min="15" max="15" width="10.140625" style="31" hidden="1" customWidth="1"/>
    <col min="16" max="16" width="9.8515625" style="31" hidden="1" customWidth="1"/>
    <col min="17" max="17" width="11.28125" style="31" hidden="1" customWidth="1"/>
    <col min="18" max="18" width="10.7109375" style="31" hidden="1" customWidth="1"/>
    <col min="19" max="19" width="11.00390625" style="31" hidden="1" customWidth="1"/>
    <col min="20" max="20" width="14.7109375" style="31" hidden="1" customWidth="1"/>
    <col min="21" max="21" width="2.00390625" style="31" hidden="1" customWidth="1"/>
    <col min="22" max="22" width="10.421875" style="31" hidden="1" customWidth="1"/>
    <col min="23" max="23" width="9.8515625" style="31" hidden="1" customWidth="1"/>
    <col min="24" max="24" width="9.421875" style="31" hidden="1" customWidth="1"/>
    <col min="25" max="25" width="11.28125" style="31" hidden="1" customWidth="1"/>
    <col min="26" max="26" width="10.421875" style="31" hidden="1" customWidth="1"/>
    <col min="27" max="27" width="10.8515625" style="31" hidden="1" customWidth="1"/>
    <col min="28" max="28" width="11.00390625" style="31" hidden="1" customWidth="1"/>
    <col min="29" max="29" width="11.7109375" style="31" hidden="1" customWidth="1"/>
    <col min="30" max="30" width="9.8515625" style="31" hidden="1" customWidth="1"/>
    <col min="31" max="31" width="10.8515625" style="31" hidden="1" customWidth="1"/>
    <col min="32" max="32" width="11.8515625" style="31" hidden="1" customWidth="1"/>
    <col min="33" max="33" width="12.140625" style="31" hidden="1" customWidth="1"/>
    <col min="34" max="34" width="11.421875" style="31" hidden="1" customWidth="1"/>
    <col min="35" max="35" width="11.140625" style="31" hidden="1" customWidth="1"/>
    <col min="36" max="36" width="10.8515625" style="31" hidden="1" customWidth="1"/>
    <col min="37" max="40" width="10.421875" style="31" hidden="1" customWidth="1"/>
    <col min="41" max="41" width="11.421875" style="31" hidden="1" customWidth="1"/>
    <col min="42" max="44" width="11.00390625" style="31" hidden="1" customWidth="1"/>
    <col min="45" max="48" width="12.7109375" style="31" hidden="1" customWidth="1"/>
    <col min="49" max="49" width="11.421875" style="31" hidden="1" customWidth="1"/>
    <col min="50" max="50" width="10.7109375" style="31" hidden="1" customWidth="1"/>
    <col min="51" max="52" width="11.8515625" style="31" hidden="1" customWidth="1"/>
    <col min="53" max="53" width="11.28125" style="31" hidden="1" customWidth="1"/>
    <col min="54" max="54" width="11.421875" style="31" hidden="1" customWidth="1"/>
    <col min="55" max="55" width="11.7109375" style="31" hidden="1" customWidth="1"/>
    <col min="56" max="56" width="12.140625" style="31" hidden="1" customWidth="1"/>
    <col min="57" max="57" width="11.8515625" style="31" hidden="1" customWidth="1"/>
    <col min="58" max="58" width="12.421875" style="31" hidden="1" customWidth="1"/>
    <col min="59" max="59" width="12.00390625" style="31" hidden="1" customWidth="1"/>
    <col min="60" max="60" width="11.7109375" style="31" hidden="1" customWidth="1"/>
    <col min="61" max="61" width="12.28125" style="31" hidden="1" customWidth="1"/>
    <col min="62" max="62" width="11.8515625" style="31" hidden="1" customWidth="1"/>
    <col min="63" max="63" width="11.7109375" style="31" hidden="1" customWidth="1"/>
    <col min="64" max="64" width="11.8515625" style="31" hidden="1" customWidth="1"/>
    <col min="65" max="65" width="12.140625" style="31" hidden="1" customWidth="1"/>
    <col min="66" max="66" width="11.7109375" style="31" customWidth="1"/>
    <col min="67" max="67" width="12.421875" style="31" customWidth="1"/>
    <col min="68" max="68" width="13.140625" style="31" customWidth="1"/>
    <col min="69" max="69" width="14.140625" style="31" customWidth="1"/>
    <col min="70" max="70" width="13.421875" style="31" customWidth="1"/>
    <col min="71" max="71" width="13.7109375" style="31" customWidth="1"/>
    <col min="72" max="73" width="14.00390625" style="31" customWidth="1"/>
    <col min="74" max="74" width="14.7109375" style="31" customWidth="1"/>
    <col min="75" max="75" width="13.8515625" style="31" customWidth="1"/>
    <col min="76" max="76" width="15.421875" style="31" customWidth="1"/>
    <col min="77" max="78" width="13.7109375" style="31" customWidth="1"/>
    <col min="79" max="16384" width="9.140625" style="31" customWidth="1"/>
  </cols>
  <sheetData>
    <row r="2" spans="1:48" ht="19.5" customHeight="1">
      <c r="A2" s="145"/>
      <c r="B2" s="146" t="s">
        <v>127</v>
      </c>
      <c r="C2" s="147"/>
      <c r="D2" s="147"/>
      <c r="E2" s="147"/>
      <c r="F2" s="148"/>
      <c r="G2" s="149"/>
      <c r="H2" s="148"/>
      <c r="I2" s="149"/>
      <c r="J2" s="149"/>
      <c r="K2" s="148"/>
      <c r="L2" s="148"/>
      <c r="M2" s="149"/>
      <c r="N2" s="149"/>
      <c r="O2" s="150"/>
      <c r="P2" s="149"/>
      <c r="Q2" s="148"/>
      <c r="R2" s="149"/>
      <c r="S2" s="149"/>
      <c r="T2" s="151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</row>
    <row r="3" spans="1:62" ht="19.5" customHeight="1" thickBot="1">
      <c r="A3" s="145"/>
      <c r="B3" s="136"/>
      <c r="C3" s="136"/>
      <c r="D3" s="136"/>
      <c r="E3" s="136"/>
      <c r="F3" s="137"/>
      <c r="G3" s="137"/>
      <c r="H3" s="137"/>
      <c r="I3" s="138"/>
      <c r="J3" s="138"/>
      <c r="K3" s="137"/>
      <c r="L3" s="137"/>
      <c r="M3" s="138"/>
      <c r="N3" s="138"/>
      <c r="O3" s="139"/>
      <c r="P3" s="138"/>
      <c r="Q3" s="137"/>
      <c r="R3" s="138"/>
      <c r="S3" s="138"/>
      <c r="T3" s="140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78" ht="19.5" customHeight="1" thickBot="1">
      <c r="A4" s="145"/>
      <c r="B4" s="173"/>
      <c r="C4" s="134">
        <v>37655</v>
      </c>
      <c r="D4" s="134">
        <v>37681</v>
      </c>
      <c r="E4" s="134">
        <v>37712</v>
      </c>
      <c r="F4" s="134">
        <v>37742</v>
      </c>
      <c r="G4" s="134">
        <v>37773</v>
      </c>
      <c r="H4" s="134">
        <v>37803</v>
      </c>
      <c r="I4" s="134">
        <v>37834</v>
      </c>
      <c r="J4" s="134">
        <v>37865</v>
      </c>
      <c r="K4" s="134">
        <v>37895</v>
      </c>
      <c r="L4" s="134">
        <v>37926</v>
      </c>
      <c r="M4" s="134">
        <v>37956</v>
      </c>
      <c r="N4" s="134">
        <v>37987</v>
      </c>
      <c r="O4" s="135">
        <v>38018</v>
      </c>
      <c r="P4" s="134">
        <v>38047</v>
      </c>
      <c r="Q4" s="134">
        <v>38078</v>
      </c>
      <c r="R4" s="134">
        <v>38108</v>
      </c>
      <c r="S4" s="134">
        <v>38139</v>
      </c>
      <c r="T4" s="134">
        <v>38169</v>
      </c>
      <c r="U4" s="134">
        <v>38200</v>
      </c>
      <c r="V4" s="134">
        <v>38231</v>
      </c>
      <c r="W4" s="134">
        <v>38261</v>
      </c>
      <c r="X4" s="134">
        <v>38292</v>
      </c>
      <c r="Y4" s="134">
        <v>38322</v>
      </c>
      <c r="Z4" s="134">
        <v>38353</v>
      </c>
      <c r="AA4" s="134">
        <v>38384</v>
      </c>
      <c r="AB4" s="134">
        <v>38412</v>
      </c>
      <c r="AC4" s="134">
        <v>38443</v>
      </c>
      <c r="AD4" s="134">
        <v>38473</v>
      </c>
      <c r="AE4" s="134">
        <v>38504</v>
      </c>
      <c r="AF4" s="134">
        <v>38534</v>
      </c>
      <c r="AG4" s="134">
        <v>38565</v>
      </c>
      <c r="AH4" s="134">
        <v>38596</v>
      </c>
      <c r="AI4" s="134">
        <v>38626</v>
      </c>
      <c r="AJ4" s="134">
        <v>38657</v>
      </c>
      <c r="AK4" s="134">
        <v>38687</v>
      </c>
      <c r="AL4" s="134">
        <v>38718</v>
      </c>
      <c r="AM4" s="134">
        <v>38749</v>
      </c>
      <c r="AN4" s="134">
        <v>38777</v>
      </c>
      <c r="AO4" s="134">
        <v>38808</v>
      </c>
      <c r="AP4" s="134">
        <v>38838</v>
      </c>
      <c r="AQ4" s="134">
        <v>38869</v>
      </c>
      <c r="AR4" s="134">
        <v>38929</v>
      </c>
      <c r="AS4" s="134">
        <v>38960</v>
      </c>
      <c r="AT4" s="134">
        <v>38990</v>
      </c>
      <c r="AU4" s="134">
        <v>39021</v>
      </c>
      <c r="AV4" s="134">
        <v>39051</v>
      </c>
      <c r="AW4" s="134">
        <v>39082</v>
      </c>
      <c r="AX4" s="182">
        <v>39113</v>
      </c>
      <c r="AY4" s="182">
        <v>39141</v>
      </c>
      <c r="AZ4" s="182">
        <v>39172</v>
      </c>
      <c r="BA4" s="182">
        <v>39202</v>
      </c>
      <c r="BB4" s="182">
        <v>39233</v>
      </c>
      <c r="BC4" s="182">
        <v>39263</v>
      </c>
      <c r="BD4" s="182">
        <v>39294</v>
      </c>
      <c r="BE4" s="182">
        <v>39325</v>
      </c>
      <c r="BF4" s="182">
        <v>39355</v>
      </c>
      <c r="BG4" s="182">
        <v>39386</v>
      </c>
      <c r="BH4" s="182">
        <v>39416</v>
      </c>
      <c r="BI4" s="182">
        <v>39447</v>
      </c>
      <c r="BJ4" s="182">
        <v>39478</v>
      </c>
      <c r="BK4" s="182">
        <v>39507</v>
      </c>
      <c r="BL4" s="182">
        <v>39538</v>
      </c>
      <c r="BM4" s="182">
        <v>39568</v>
      </c>
      <c r="BN4" s="182">
        <v>39599</v>
      </c>
      <c r="BO4" s="182">
        <v>39629</v>
      </c>
      <c r="BP4" s="182">
        <v>39660</v>
      </c>
      <c r="BQ4" s="182">
        <v>39691</v>
      </c>
      <c r="BR4" s="182">
        <v>39721</v>
      </c>
      <c r="BS4" s="182">
        <v>39752</v>
      </c>
      <c r="BT4" s="182">
        <v>39782</v>
      </c>
      <c r="BU4" s="182">
        <v>39813</v>
      </c>
      <c r="BV4" s="182">
        <v>39844</v>
      </c>
      <c r="BW4" s="182">
        <v>39872</v>
      </c>
      <c r="BX4" s="182">
        <v>39903</v>
      </c>
      <c r="BY4" s="182">
        <v>39933</v>
      </c>
      <c r="BZ4" s="182">
        <v>39964</v>
      </c>
    </row>
    <row r="5" spans="1:78" ht="19.5" customHeight="1">
      <c r="A5" s="172"/>
      <c r="B5" s="64" t="s">
        <v>85</v>
      </c>
      <c r="C5" s="65"/>
      <c r="D5" s="65"/>
      <c r="E5" s="66"/>
      <c r="F5" s="67"/>
      <c r="G5" s="67"/>
      <c r="H5" s="67"/>
      <c r="I5" s="67"/>
      <c r="J5" s="67"/>
      <c r="K5" s="67"/>
      <c r="L5" s="67"/>
      <c r="M5" s="68"/>
      <c r="N5" s="67"/>
      <c r="O5" s="69"/>
      <c r="P5" s="70"/>
      <c r="Q5" s="67"/>
      <c r="R5" s="70"/>
      <c r="S5" s="70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</row>
    <row r="6" spans="1:78" ht="19.5" customHeight="1">
      <c r="A6" s="145"/>
      <c r="B6" s="64"/>
      <c r="C6" s="65"/>
      <c r="D6" s="65"/>
      <c r="E6" s="66"/>
      <c r="F6" s="67"/>
      <c r="G6" s="67"/>
      <c r="H6" s="67"/>
      <c r="I6" s="67"/>
      <c r="J6" s="67"/>
      <c r="K6" s="67"/>
      <c r="L6" s="67"/>
      <c r="M6" s="68"/>
      <c r="N6" s="67"/>
      <c r="O6" s="69"/>
      <c r="P6" s="70"/>
      <c r="Q6" s="67"/>
      <c r="R6" s="70"/>
      <c r="S6" s="70"/>
      <c r="T6" s="71"/>
      <c r="U6" s="70"/>
      <c r="V6" s="70"/>
      <c r="W6" s="70"/>
      <c r="X6" s="70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</row>
    <row r="7" spans="2:78" ht="19.5" customHeight="1">
      <c r="B7" s="64" t="s">
        <v>114</v>
      </c>
      <c r="C7" s="72">
        <v>2595.44027685</v>
      </c>
      <c r="D7" s="72">
        <v>2187.8368766900003</v>
      </c>
      <c r="E7" s="72">
        <v>2272.4872471500003</v>
      </c>
      <c r="F7" s="73">
        <v>2113.36340838</v>
      </c>
      <c r="G7" s="73">
        <v>2165.8</v>
      </c>
      <c r="H7" s="74">
        <v>2129.6</v>
      </c>
      <c r="I7" s="67">
        <v>1891</v>
      </c>
      <c r="J7" s="73">
        <v>2181.2</v>
      </c>
      <c r="K7" s="73">
        <v>2467.9</v>
      </c>
      <c r="L7" s="73">
        <v>2091</v>
      </c>
      <c r="M7" s="75">
        <v>2110.3</v>
      </c>
      <c r="N7" s="73">
        <v>2710.8702829799995</v>
      </c>
      <c r="O7" s="76">
        <v>1935.4129830699999</v>
      </c>
      <c r="P7" s="77">
        <v>1824.1042653499997</v>
      </c>
      <c r="Q7" s="67">
        <v>2395.6</v>
      </c>
      <c r="R7" s="67">
        <v>1860.4</v>
      </c>
      <c r="S7" s="67">
        <v>1783.2</v>
      </c>
      <c r="T7" s="67">
        <v>1984.6</v>
      </c>
      <c r="U7" s="67">
        <v>1989.9</v>
      </c>
      <c r="V7" s="67">
        <v>1808.2</v>
      </c>
      <c r="W7" s="67">
        <v>2207.6</v>
      </c>
      <c r="X7" s="67">
        <v>1987.9</v>
      </c>
      <c r="Y7" s="67">
        <v>1977.3</v>
      </c>
      <c r="Z7" s="67">
        <v>2327.5</v>
      </c>
      <c r="AA7" s="67">
        <v>2029.5</v>
      </c>
      <c r="AB7" s="67">
        <v>1912.6</v>
      </c>
      <c r="AC7" s="67">
        <v>2303.8</v>
      </c>
      <c r="AD7" s="67">
        <v>2107.1</v>
      </c>
      <c r="AE7" s="67">
        <v>1874.1</v>
      </c>
      <c r="AF7" s="67">
        <v>2354.7</v>
      </c>
      <c r="AG7" s="67">
        <v>2159.1</v>
      </c>
      <c r="AH7" s="67">
        <v>1818.2</v>
      </c>
      <c r="AI7" s="73">
        <v>2245</v>
      </c>
      <c r="AJ7" s="73">
        <v>1902.22246</v>
      </c>
      <c r="AK7" s="73">
        <v>1983.9</v>
      </c>
      <c r="AL7" s="73">
        <v>2705.5</v>
      </c>
      <c r="AM7" s="73">
        <v>2696</v>
      </c>
      <c r="AN7" s="73">
        <v>2458.1</v>
      </c>
      <c r="AO7" s="73">
        <v>3129.7</v>
      </c>
      <c r="AP7" s="73">
        <v>2973</v>
      </c>
      <c r="AQ7" s="73">
        <v>2677.9</v>
      </c>
      <c r="AR7" s="73">
        <v>3313.1</v>
      </c>
      <c r="AS7" s="73">
        <v>2760.7</v>
      </c>
      <c r="AT7" s="73">
        <v>3119.2</v>
      </c>
      <c r="AU7" s="73">
        <v>4104.4</v>
      </c>
      <c r="AV7" s="73">
        <v>3495.2</v>
      </c>
      <c r="AW7" s="73">
        <v>3164.3</v>
      </c>
      <c r="AX7" s="73">
        <v>4865.6</v>
      </c>
      <c r="AY7" s="73">
        <v>4466.4</v>
      </c>
      <c r="AZ7" s="73">
        <v>5690</v>
      </c>
      <c r="BA7" s="73">
        <v>6260.1</v>
      </c>
      <c r="BB7" s="254">
        <v>5643.8</v>
      </c>
      <c r="BC7" s="260">
        <v>6085.3</v>
      </c>
      <c r="BD7" s="260">
        <v>7455.9</v>
      </c>
      <c r="BE7" s="260">
        <v>6359</v>
      </c>
      <c r="BF7" s="260">
        <v>5868.650081049999</v>
      </c>
      <c r="BG7" s="260">
        <v>6499.853570999999</v>
      </c>
      <c r="BH7" s="260">
        <v>6257.02633294</v>
      </c>
      <c r="BI7" s="260">
        <v>6743.949222620002</v>
      </c>
      <c r="BJ7" s="260">
        <v>8497.90853458</v>
      </c>
      <c r="BK7" s="260">
        <v>8656.654479950002</v>
      </c>
      <c r="BL7" s="260">
        <v>8900.78</v>
      </c>
      <c r="BM7" s="260">
        <v>9949.63092274</v>
      </c>
      <c r="BN7" s="260">
        <v>9441.90025126</v>
      </c>
      <c r="BO7" s="260">
        <v>9697.814715469998</v>
      </c>
      <c r="BP7" s="260">
        <v>11758.2039831</v>
      </c>
      <c r="BQ7" s="260">
        <v>10730.849802119998</v>
      </c>
      <c r="BR7" s="260">
        <v>10942.098551590001</v>
      </c>
      <c r="BS7" s="260">
        <v>13805.317071959998</v>
      </c>
      <c r="BT7" s="260">
        <v>12725.77199603</v>
      </c>
      <c r="BU7" s="266">
        <v>12857.52677013</v>
      </c>
      <c r="BV7" s="266">
        <v>14524</v>
      </c>
      <c r="BW7" s="266">
        <v>13779</v>
      </c>
      <c r="BX7" s="266">
        <v>14354.44</v>
      </c>
      <c r="BY7" s="266">
        <v>14557.05</v>
      </c>
      <c r="BZ7" s="266">
        <v>14201.47</v>
      </c>
    </row>
    <row r="8" spans="2:78" ht="19.5" customHeight="1">
      <c r="B8" s="64" t="s">
        <v>30</v>
      </c>
      <c r="C8" s="78"/>
      <c r="D8" s="78">
        <f>D7-C7</f>
        <v>-407.60340015999964</v>
      </c>
      <c r="E8" s="78">
        <f>E7-D7</f>
        <v>84.65037045999998</v>
      </c>
      <c r="F8" s="78">
        <f>F7-E7</f>
        <v>-159.12383877000048</v>
      </c>
      <c r="G8" s="78">
        <f aca="true" t="shared" si="0" ref="G8:AG8">G7-F7</f>
        <v>52.4365916200004</v>
      </c>
      <c r="H8" s="78">
        <f t="shared" si="0"/>
        <v>-36.20000000000027</v>
      </c>
      <c r="I8" s="78">
        <f t="shared" si="0"/>
        <v>-238.5999999999999</v>
      </c>
      <c r="J8" s="78">
        <f t="shared" si="0"/>
        <v>290.1999999999998</v>
      </c>
      <c r="K8" s="78">
        <f t="shared" si="0"/>
        <v>286.7000000000003</v>
      </c>
      <c r="L8" s="78">
        <f t="shared" si="0"/>
        <v>-376.9000000000001</v>
      </c>
      <c r="M8" s="78">
        <f t="shared" si="0"/>
        <v>19.300000000000182</v>
      </c>
      <c r="N8" s="78">
        <f t="shared" si="0"/>
        <v>600.5702829799993</v>
      </c>
      <c r="O8" s="79">
        <f t="shared" si="0"/>
        <v>-775.4572999099996</v>
      </c>
      <c r="P8" s="74">
        <f t="shared" si="0"/>
        <v>-111.30871772000023</v>
      </c>
      <c r="Q8" s="74">
        <f t="shared" si="0"/>
        <v>571.4957346500003</v>
      </c>
      <c r="R8" s="74">
        <f t="shared" si="0"/>
        <v>-535.1999999999998</v>
      </c>
      <c r="S8" s="74">
        <f t="shared" si="0"/>
        <v>-77.20000000000005</v>
      </c>
      <c r="T8" s="74">
        <f t="shared" si="0"/>
        <v>201.39999999999986</v>
      </c>
      <c r="U8" s="74">
        <f t="shared" si="0"/>
        <v>5.300000000000182</v>
      </c>
      <c r="V8" s="74">
        <f t="shared" si="0"/>
        <v>-181.70000000000005</v>
      </c>
      <c r="W8" s="74">
        <f t="shared" si="0"/>
        <v>399.39999999999986</v>
      </c>
      <c r="X8" s="74">
        <f t="shared" si="0"/>
        <v>-219.69999999999982</v>
      </c>
      <c r="Y8" s="74">
        <f t="shared" si="0"/>
        <v>-10.600000000000136</v>
      </c>
      <c r="Z8" s="74">
        <f t="shared" si="0"/>
        <v>350.20000000000005</v>
      </c>
      <c r="AA8" s="74">
        <f t="shared" si="0"/>
        <v>-298</v>
      </c>
      <c r="AB8" s="74">
        <f t="shared" si="0"/>
        <v>-116.90000000000009</v>
      </c>
      <c r="AC8" s="74">
        <f t="shared" si="0"/>
        <v>391.2000000000003</v>
      </c>
      <c r="AD8" s="74">
        <f t="shared" si="0"/>
        <v>-196.70000000000027</v>
      </c>
      <c r="AE8" s="74">
        <f t="shared" si="0"/>
        <v>-233</v>
      </c>
      <c r="AF8" s="74">
        <f t="shared" si="0"/>
        <v>480.5999999999999</v>
      </c>
      <c r="AG8" s="74">
        <f t="shared" si="0"/>
        <v>-195.5999999999999</v>
      </c>
      <c r="AH8" s="74">
        <f aca="true" t="shared" si="1" ref="AH8:BX8">AH7-AG7</f>
        <v>-340.89999999999986</v>
      </c>
      <c r="AI8" s="74">
        <f t="shared" si="1"/>
        <v>426.79999999999995</v>
      </c>
      <c r="AJ8" s="74">
        <f t="shared" si="1"/>
        <v>-342.77754000000004</v>
      </c>
      <c r="AK8" s="74">
        <f t="shared" si="1"/>
        <v>81.67754000000014</v>
      </c>
      <c r="AL8" s="74">
        <f t="shared" si="1"/>
        <v>721.5999999999999</v>
      </c>
      <c r="AM8" s="74">
        <f t="shared" si="1"/>
        <v>-9.5</v>
      </c>
      <c r="AN8" s="74">
        <f t="shared" si="1"/>
        <v>-237.9000000000001</v>
      </c>
      <c r="AO8" s="74">
        <f t="shared" si="1"/>
        <v>671.5999999999999</v>
      </c>
      <c r="AP8" s="74">
        <f t="shared" si="1"/>
        <v>-156.69999999999982</v>
      </c>
      <c r="AQ8" s="74">
        <f t="shared" si="1"/>
        <v>-295.0999999999999</v>
      </c>
      <c r="AR8" s="74">
        <f t="shared" si="1"/>
        <v>635.1999999999998</v>
      </c>
      <c r="AS8" s="74">
        <f t="shared" si="1"/>
        <v>-552.4000000000001</v>
      </c>
      <c r="AT8" s="74">
        <f t="shared" si="1"/>
        <v>358.5</v>
      </c>
      <c r="AU8" s="74">
        <f t="shared" si="1"/>
        <v>985.1999999999998</v>
      </c>
      <c r="AV8" s="74">
        <f t="shared" si="1"/>
        <v>-609.1999999999998</v>
      </c>
      <c r="AW8" s="74">
        <f t="shared" si="1"/>
        <v>-330.89999999999964</v>
      </c>
      <c r="AX8" s="74">
        <f t="shared" si="1"/>
        <v>1701.3000000000002</v>
      </c>
      <c r="AY8" s="74">
        <f t="shared" si="1"/>
        <v>-399.2000000000007</v>
      </c>
      <c r="AZ8" s="74">
        <f t="shared" si="1"/>
        <v>1223.6000000000004</v>
      </c>
      <c r="BA8" s="74">
        <f t="shared" si="1"/>
        <v>570.1000000000004</v>
      </c>
      <c r="BB8" s="255">
        <f t="shared" si="1"/>
        <v>-616.3000000000002</v>
      </c>
      <c r="BC8" s="261">
        <f t="shared" si="1"/>
        <v>441.5</v>
      </c>
      <c r="BD8" s="261">
        <f t="shared" si="1"/>
        <v>1370.5999999999995</v>
      </c>
      <c r="BE8" s="261">
        <f t="shared" si="1"/>
        <v>-1096.8999999999996</v>
      </c>
      <c r="BF8" s="261">
        <f t="shared" si="1"/>
        <v>-490.34991895000076</v>
      </c>
      <c r="BG8" s="261">
        <f t="shared" si="1"/>
        <v>631.2034899499995</v>
      </c>
      <c r="BH8" s="261">
        <f t="shared" si="1"/>
        <v>-242.8272380599983</v>
      </c>
      <c r="BI8" s="261">
        <f t="shared" si="1"/>
        <v>486.9228896800014</v>
      </c>
      <c r="BJ8" s="261">
        <f t="shared" si="1"/>
        <v>1753.9593119599976</v>
      </c>
      <c r="BK8" s="261">
        <f t="shared" si="1"/>
        <v>158.74594537000303</v>
      </c>
      <c r="BL8" s="261">
        <f t="shared" si="1"/>
        <v>244.12552004999816</v>
      </c>
      <c r="BM8" s="261">
        <f t="shared" si="1"/>
        <v>1048.850922739999</v>
      </c>
      <c r="BN8" s="261">
        <f t="shared" si="1"/>
        <v>-507.7306714799997</v>
      </c>
      <c r="BO8" s="261">
        <f t="shared" si="1"/>
        <v>255.9144642099982</v>
      </c>
      <c r="BP8" s="261">
        <f t="shared" si="1"/>
        <v>2060.389267630002</v>
      </c>
      <c r="BQ8" s="261">
        <f t="shared" si="1"/>
        <v>-1027.3541809800026</v>
      </c>
      <c r="BR8" s="261">
        <f t="shared" si="1"/>
        <v>211.24874947000353</v>
      </c>
      <c r="BS8" s="261">
        <f t="shared" si="1"/>
        <v>2863.2185203699973</v>
      </c>
      <c r="BT8" s="261">
        <f t="shared" si="1"/>
        <v>-1079.5450759299983</v>
      </c>
      <c r="BU8" s="266">
        <f t="shared" si="1"/>
        <v>131.75477409999985</v>
      </c>
      <c r="BV8" s="266">
        <f t="shared" si="1"/>
        <v>1666.47322987</v>
      </c>
      <c r="BW8" s="271">
        <f t="shared" si="1"/>
        <v>-745</v>
      </c>
      <c r="BX8" s="274">
        <f t="shared" si="1"/>
        <v>575.4400000000005</v>
      </c>
      <c r="BY8" s="274">
        <f>BY7-BX7</f>
        <v>202.60999999999876</v>
      </c>
      <c r="BZ8" s="276">
        <f>BZ7-BY7</f>
        <v>-355.5799999999999</v>
      </c>
    </row>
    <row r="9" spans="2:78" ht="19.5" customHeight="1">
      <c r="B9" s="64"/>
      <c r="C9" s="65"/>
      <c r="D9" s="65"/>
      <c r="E9" s="65"/>
      <c r="F9" s="67"/>
      <c r="G9" s="67"/>
      <c r="H9" s="67"/>
      <c r="I9" s="67"/>
      <c r="J9" s="67"/>
      <c r="K9" s="67"/>
      <c r="L9" s="67"/>
      <c r="M9" s="68"/>
      <c r="N9" s="67"/>
      <c r="O9" s="69"/>
      <c r="P9" s="70"/>
      <c r="Q9" s="67"/>
      <c r="R9" s="70"/>
      <c r="S9" s="70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67"/>
      <c r="BV9" s="267"/>
      <c r="BW9" s="266"/>
      <c r="BX9" s="266"/>
      <c r="BY9" s="266"/>
      <c r="BZ9" s="266"/>
    </row>
    <row r="10" spans="2:78" ht="19.5" customHeight="1">
      <c r="B10" s="64" t="s">
        <v>44</v>
      </c>
      <c r="C10" s="65"/>
      <c r="D10" s="65"/>
      <c r="E10" s="65"/>
      <c r="F10" s="67"/>
      <c r="G10" s="67"/>
      <c r="H10" s="67"/>
      <c r="I10" s="67"/>
      <c r="J10" s="67"/>
      <c r="K10" s="67"/>
      <c r="L10" s="67"/>
      <c r="M10" s="68"/>
      <c r="N10" s="67"/>
      <c r="O10" s="69"/>
      <c r="P10" s="70"/>
      <c r="Q10" s="67"/>
      <c r="R10" s="70"/>
      <c r="S10" s="70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67"/>
      <c r="BV10" s="267"/>
      <c r="BW10" s="266"/>
      <c r="BX10" s="266"/>
      <c r="BY10" s="266"/>
      <c r="BZ10" s="266"/>
    </row>
    <row r="11" spans="2:78" ht="19.5" customHeight="1">
      <c r="B11" s="64"/>
      <c r="C11" s="65"/>
      <c r="D11" s="65"/>
      <c r="E11" s="65"/>
      <c r="F11" s="67"/>
      <c r="G11" s="67"/>
      <c r="H11" s="67"/>
      <c r="I11" s="67"/>
      <c r="J11" s="67"/>
      <c r="K11" s="67"/>
      <c r="L11" s="67"/>
      <c r="M11" s="68"/>
      <c r="N11" s="67"/>
      <c r="O11" s="69"/>
      <c r="P11" s="70"/>
      <c r="Q11" s="67"/>
      <c r="R11" s="70"/>
      <c r="S11" s="70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67"/>
      <c r="BV11" s="267"/>
      <c r="BW11" s="266"/>
      <c r="BX11" s="266"/>
      <c r="BY11" s="266"/>
      <c r="BZ11" s="266"/>
    </row>
    <row r="12" spans="2:78" ht="19.5" customHeight="1">
      <c r="B12" s="64" t="s">
        <v>31</v>
      </c>
      <c r="C12" s="65"/>
      <c r="D12" s="65">
        <v>8.0439</v>
      </c>
      <c r="E12" s="65">
        <v>7.7068</v>
      </c>
      <c r="F12" s="80">
        <v>7.6652</v>
      </c>
      <c r="G12" s="80">
        <v>7.9027</v>
      </c>
      <c r="H12" s="80">
        <v>7.5401</v>
      </c>
      <c r="I12" s="67">
        <v>7.3922</v>
      </c>
      <c r="J12" s="67">
        <v>7.3246</v>
      </c>
      <c r="K12" s="67">
        <v>6.9637</v>
      </c>
      <c r="L12" s="67">
        <v>6.7287</v>
      </c>
      <c r="M12" s="68">
        <v>6.5159</v>
      </c>
      <c r="N12" s="67">
        <v>6.9179</v>
      </c>
      <c r="O12" s="68">
        <v>6.7686</v>
      </c>
      <c r="P12" s="67">
        <v>6.6633</v>
      </c>
      <c r="Q12" s="67">
        <v>6.5537</v>
      </c>
      <c r="R12" s="67">
        <v>6.7821</v>
      </c>
      <c r="S12" s="67">
        <v>6.4381</v>
      </c>
      <c r="T12" s="81">
        <v>6.1287</v>
      </c>
      <c r="U12" s="67">
        <v>6.4575</v>
      </c>
      <c r="V12" s="67">
        <v>6.5469</v>
      </c>
      <c r="W12" s="67">
        <v>6.3876</v>
      </c>
      <c r="X12" s="67">
        <v>6.0558</v>
      </c>
      <c r="Y12" s="67">
        <v>5.7323</v>
      </c>
      <c r="Z12" s="67">
        <v>5.9698</v>
      </c>
      <c r="AA12" s="67">
        <v>6.0161</v>
      </c>
      <c r="AB12" s="67">
        <v>6.323</v>
      </c>
      <c r="AC12" s="67">
        <v>6.1521</v>
      </c>
      <c r="AD12" s="67">
        <v>6.3314</v>
      </c>
      <c r="AE12" s="81">
        <v>6.75</v>
      </c>
      <c r="AF12" s="81">
        <v>6.7035</v>
      </c>
      <c r="AG12" s="81">
        <v>6.465</v>
      </c>
      <c r="AH12" s="81">
        <v>6.3578</v>
      </c>
      <c r="AI12" s="81">
        <v>6.5766</v>
      </c>
      <c r="AJ12" s="81">
        <v>6.521</v>
      </c>
      <c r="AK12" s="81">
        <v>6.3591</v>
      </c>
      <c r="AL12" s="81">
        <v>6.0891</v>
      </c>
      <c r="AM12" s="81">
        <v>6.1177</v>
      </c>
      <c r="AN12" s="81">
        <v>6.2544</v>
      </c>
      <c r="AO12" s="81">
        <v>6.072</v>
      </c>
      <c r="AP12" s="81">
        <v>6.3199</v>
      </c>
      <c r="AQ12" s="81">
        <v>6.9549</v>
      </c>
      <c r="AR12" s="81">
        <v>7.0843</v>
      </c>
      <c r="AS12" s="81">
        <v>6.9553</v>
      </c>
      <c r="AT12" s="81">
        <v>7.4098</v>
      </c>
      <c r="AU12" s="81">
        <v>7.6492</v>
      </c>
      <c r="AV12" s="81">
        <v>7.2586</v>
      </c>
      <c r="AW12" s="81">
        <v>7.0406</v>
      </c>
      <c r="AX12" s="81">
        <v>7.1838</v>
      </c>
      <c r="AY12" s="81">
        <v>7.1698</v>
      </c>
      <c r="AZ12" s="81">
        <v>7.3514</v>
      </c>
      <c r="BA12" s="81">
        <v>7.1216</v>
      </c>
      <c r="BB12" s="257">
        <v>7.0187</v>
      </c>
      <c r="BC12" s="257">
        <v>7.1718</v>
      </c>
      <c r="BD12" s="257">
        <v>6.973</v>
      </c>
      <c r="BE12" s="257">
        <v>7.2334</v>
      </c>
      <c r="BF12" s="257">
        <v>7.1282</v>
      </c>
      <c r="BG12" s="257">
        <v>6.7729</v>
      </c>
      <c r="BH12" s="257">
        <v>6.701</v>
      </c>
      <c r="BI12" s="257">
        <v>6.8271</v>
      </c>
      <c r="BJ12" s="257">
        <v>6.9874</v>
      </c>
      <c r="BK12" s="257">
        <v>7.6386</v>
      </c>
      <c r="BL12" s="257">
        <v>7.9799</v>
      </c>
      <c r="BM12" s="257">
        <v>7.7933</v>
      </c>
      <c r="BN12" s="257">
        <v>7.6238</v>
      </c>
      <c r="BO12" s="257">
        <v>7.9188</v>
      </c>
      <c r="BP12" s="257">
        <v>7.6393</v>
      </c>
      <c r="BQ12" s="257">
        <v>7.6578</v>
      </c>
      <c r="BR12" s="257">
        <v>8.0472</v>
      </c>
      <c r="BS12" s="257">
        <v>9.6715</v>
      </c>
      <c r="BT12" s="257">
        <v>10.1177</v>
      </c>
      <c r="BU12" s="268">
        <v>9.9456</v>
      </c>
      <c r="BV12" s="268">
        <v>9.897</v>
      </c>
      <c r="BW12" s="272">
        <v>10.0062</v>
      </c>
      <c r="BX12" s="272">
        <v>9.9932</v>
      </c>
      <c r="BY12" s="272">
        <v>9.018</v>
      </c>
      <c r="BZ12" s="272">
        <v>8.3723</v>
      </c>
    </row>
    <row r="13" spans="2:78" ht="19.5" customHeight="1">
      <c r="B13" s="64" t="s">
        <v>32</v>
      </c>
      <c r="C13" s="82"/>
      <c r="D13" s="82">
        <f>1/8.0439</f>
        <v>0.124317806039359</v>
      </c>
      <c r="E13" s="82">
        <f>1/7.7068</f>
        <v>0.12975554056158198</v>
      </c>
      <c r="F13" s="83">
        <f>1/7.6652</f>
        <v>0.13045974012419767</v>
      </c>
      <c r="G13" s="83">
        <f>1/7.9027</f>
        <v>0.12653903096410088</v>
      </c>
      <c r="H13" s="83">
        <f>1/7.5401</f>
        <v>0.1326242357528415</v>
      </c>
      <c r="I13" s="83">
        <f>1/7.3922</f>
        <v>0.13527772516977354</v>
      </c>
      <c r="J13" s="83">
        <f>1/7.3246</f>
        <v>0.1365262266881468</v>
      </c>
      <c r="K13" s="83">
        <f>1/6.9637</f>
        <v>0.14360182087108864</v>
      </c>
      <c r="L13" s="83">
        <f>1/6.7287</f>
        <v>0.14861711771961894</v>
      </c>
      <c r="M13" s="83">
        <f>1/6.5159</f>
        <v>0.15347074080326586</v>
      </c>
      <c r="N13" s="83">
        <f>1/6.9179</f>
        <v>0.14455253761979792</v>
      </c>
      <c r="O13" s="84">
        <f>1/6.7686</f>
        <v>0.14774103950595396</v>
      </c>
      <c r="P13" s="83">
        <f>1/6.6633</f>
        <v>0.1500757882730779</v>
      </c>
      <c r="Q13" s="83">
        <f>1/6.5537</f>
        <v>0.15258556235409004</v>
      </c>
      <c r="R13" s="83">
        <f>1/6.7821</f>
        <v>0.14744695595759427</v>
      </c>
      <c r="S13" s="83">
        <f>1/6.4381</f>
        <v>0.15532532890138395</v>
      </c>
      <c r="T13" s="83">
        <f>1/6.1287</f>
        <v>0.1631667400916997</v>
      </c>
      <c r="U13" s="83">
        <f>1/6.4575</f>
        <v>0.1548586914440573</v>
      </c>
      <c r="V13" s="83">
        <f>1/6.5469</f>
        <v>0.15274404680077594</v>
      </c>
      <c r="W13" s="83">
        <f>1/6.3876</f>
        <v>0.15655332206149414</v>
      </c>
      <c r="X13" s="83">
        <f>1/6.0558</f>
        <v>0.16513094884243207</v>
      </c>
      <c r="Y13" s="83">
        <f>1/5.7323</f>
        <v>0.17445004622926225</v>
      </c>
      <c r="Z13" s="83">
        <f>1/5.9698</f>
        <v>0.1675097993232604</v>
      </c>
      <c r="AA13" s="83">
        <f>1/6.0161</f>
        <v>0.16622064127923405</v>
      </c>
      <c r="AB13" s="83">
        <f>1/6.0101</f>
        <v>0.16638658258598024</v>
      </c>
      <c r="AC13" s="83">
        <f>1/6.1521</f>
        <v>0.16254612246224867</v>
      </c>
      <c r="AD13" s="83">
        <f>1/6.3314</f>
        <v>0.1579429510060966</v>
      </c>
      <c r="AE13" s="83">
        <f>1/6.75</f>
        <v>0.14814814814814814</v>
      </c>
      <c r="AF13" s="83">
        <f>1/6.7035</f>
        <v>0.14917580368464234</v>
      </c>
      <c r="AG13" s="83">
        <f>1/6.465</f>
        <v>0.15467904098994587</v>
      </c>
      <c r="AH13" s="83">
        <f>1/6.3578</f>
        <v>0.1572871118940514</v>
      </c>
      <c r="AI13" s="83">
        <f>1/6.5766</f>
        <v>0.15205425295745523</v>
      </c>
      <c r="AJ13" s="83">
        <f>1/6.521</f>
        <v>0.15335071308081583</v>
      </c>
      <c r="AK13" s="83">
        <f>1/6.3591</f>
        <v>0.157254957462534</v>
      </c>
      <c r="AL13" s="83">
        <f>1/6.0891</f>
        <v>0.1642278826099095</v>
      </c>
      <c r="AM13" s="83">
        <f>1/6.1177</f>
        <v>0.16346012390277392</v>
      </c>
      <c r="AN13" s="83">
        <f>1/6.2544</f>
        <v>0.15988743924277307</v>
      </c>
      <c r="AO13" s="83">
        <f>1/6.072</f>
        <v>0.16469038208168643</v>
      </c>
      <c r="AP13" s="83">
        <f>1/6.3199</f>
        <v>0.15823035174607195</v>
      </c>
      <c r="AQ13" s="83">
        <f>1/6.9549</f>
        <v>0.14378351953299112</v>
      </c>
      <c r="AR13" s="83">
        <f>1/7.0843</f>
        <v>0.14115720678119223</v>
      </c>
      <c r="AS13" s="83">
        <f>1/6.9553</f>
        <v>0.14377525052837403</v>
      </c>
      <c r="AT13" s="83">
        <f>1/7.4098</f>
        <v>0.1349564090798672</v>
      </c>
      <c r="AU13" s="83">
        <f>1/7.6492</f>
        <v>0.13073262563405322</v>
      </c>
      <c r="AV13" s="83">
        <f>1/7.2586</f>
        <v>0.1377676135893974</v>
      </c>
      <c r="AW13" s="83">
        <f>1/7.0406</f>
        <v>0.14203334943044627</v>
      </c>
      <c r="AX13" s="83">
        <f>1/7.1838</f>
        <v>0.13920209359948774</v>
      </c>
      <c r="AY13" s="83">
        <f>1/7.1698</f>
        <v>0.13947390443248067</v>
      </c>
      <c r="AZ13" s="83">
        <f>1/7.3514</f>
        <v>0.13602851157602633</v>
      </c>
      <c r="BA13" s="83">
        <f>1/7.1216</f>
        <v>0.14041788362165805</v>
      </c>
      <c r="BB13" s="258">
        <f>1/7.0187</f>
        <v>0.14247652699217803</v>
      </c>
      <c r="BC13" s="258">
        <f>1/7.1718</f>
        <v>0.13943500934214562</v>
      </c>
      <c r="BD13" s="258">
        <f>1/6.973</f>
        <v>0.1434102968593145</v>
      </c>
      <c r="BE13" s="258">
        <f>1/7.2334</f>
        <v>0.1382475737550806</v>
      </c>
      <c r="BF13" s="258">
        <f>1/7.1282</f>
        <v>0.14028787071069837</v>
      </c>
      <c r="BG13" s="258">
        <f>1/6.7729</f>
        <v>0.14764724121129796</v>
      </c>
      <c r="BH13" s="258">
        <f>1/6.701</f>
        <v>0.14923145799134457</v>
      </c>
      <c r="BI13" s="258">
        <f>1/6.8271</f>
        <v>0.14647507726560327</v>
      </c>
      <c r="BJ13" s="258">
        <f>1/6.9871</f>
        <v>0.1431208942193471</v>
      </c>
      <c r="BK13" s="258">
        <f>1/7.6386</f>
        <v>0.13091404184012775</v>
      </c>
      <c r="BL13" s="258">
        <f>1/7.9799</f>
        <v>0.1253148535695936</v>
      </c>
      <c r="BM13" s="258">
        <f>1/7.7933</f>
        <v>0.1283153477987502</v>
      </c>
      <c r="BN13" s="258">
        <f>1/7.6238</f>
        <v>0.13116818384532647</v>
      </c>
      <c r="BO13" s="258">
        <f>1/7.9188</f>
        <v>0.12628175986260545</v>
      </c>
      <c r="BP13" s="258">
        <f>1/7.6393</f>
        <v>0.13090204599897895</v>
      </c>
      <c r="BQ13" s="258">
        <f>1/7.6578</f>
        <v>0.1305858079343937</v>
      </c>
      <c r="BR13" s="258">
        <f>1/8.0472</f>
        <v>0.12426682572820359</v>
      </c>
      <c r="BS13" s="258">
        <f>1/9.6715</f>
        <v>0.10339657757328233</v>
      </c>
      <c r="BT13" s="258">
        <f>1/10.1177</f>
        <v>0.09883669213358769</v>
      </c>
      <c r="BU13" s="268">
        <f>1/9.9456</f>
        <v>0.10054697554697554</v>
      </c>
      <c r="BV13" s="268">
        <f>1/9.897</f>
        <v>0.1010407194099222</v>
      </c>
      <c r="BW13" s="272">
        <f>1/10.006</f>
        <v>0.09994003597841294</v>
      </c>
      <c r="BX13" s="272">
        <f>1/9.9932</f>
        <v>0.1000680462714646</v>
      </c>
      <c r="BY13" s="272">
        <f>1/9.018</f>
        <v>0.11088933244621867</v>
      </c>
      <c r="BZ13" s="272">
        <f>1/8.3723</f>
        <v>0.11944149158534693</v>
      </c>
    </row>
    <row r="14" spans="2:78" ht="19.5" customHeight="1" hidden="1">
      <c r="B14" s="64" t="s">
        <v>33</v>
      </c>
      <c r="C14" s="65"/>
      <c r="D14" s="65"/>
      <c r="E14" s="65"/>
      <c r="F14" s="80"/>
      <c r="G14" s="80"/>
      <c r="H14" s="80"/>
      <c r="I14" s="67"/>
      <c r="J14" s="67"/>
      <c r="K14" s="67"/>
      <c r="L14" s="67"/>
      <c r="M14" s="68"/>
      <c r="N14" s="67"/>
      <c r="O14" s="69"/>
      <c r="P14" s="70"/>
      <c r="Q14" s="67"/>
      <c r="R14" s="70"/>
      <c r="S14" s="70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68"/>
      <c r="BV14" s="268"/>
      <c r="BW14" s="272"/>
      <c r="BX14" s="272"/>
      <c r="BY14" s="272"/>
      <c r="BZ14" s="272"/>
    </row>
    <row r="15" spans="2:78" ht="19.5" customHeight="1">
      <c r="B15" s="64" t="s">
        <v>34</v>
      </c>
      <c r="C15" s="82"/>
      <c r="D15" s="82">
        <f>1/12.7437</f>
        <v>0.07847014603294176</v>
      </c>
      <c r="E15" s="82">
        <f>1/12.124</f>
        <v>0.08248102936324644</v>
      </c>
      <c r="F15" s="83">
        <f>1/12.4393</f>
        <v>0.08039037566422548</v>
      </c>
      <c r="G15" s="83">
        <f>1/13.1219</f>
        <v>0.07620847590669035</v>
      </c>
      <c r="H15" s="83">
        <f>1/12.26</f>
        <v>0.08156606851549755</v>
      </c>
      <c r="I15" s="83">
        <f>1/11.7868</f>
        <v>0.08484066922319884</v>
      </c>
      <c r="J15" s="83">
        <f>1/11.702</f>
        <v>0.08545547769612032</v>
      </c>
      <c r="K15" s="83">
        <f>1/11.6744</f>
        <v>0.08565750702391557</v>
      </c>
      <c r="L15" s="83">
        <f>1/11.3692</f>
        <v>0.08795693628399535</v>
      </c>
      <c r="M15" s="83">
        <f>1/11.3073</f>
        <v>0.08843844242215207</v>
      </c>
      <c r="N15" s="83">
        <f>1/12.5935</f>
        <v>0.07940604279985707</v>
      </c>
      <c r="O15" s="84">
        <f>1/12.6411</f>
        <v>0.07910703973546607</v>
      </c>
      <c r="P15" s="83">
        <f>1/12.1204</f>
        <v>0.08250552787036732</v>
      </c>
      <c r="Q15" s="83">
        <f>1/11.8224</f>
        <v>0.08458519420760591</v>
      </c>
      <c r="R15" s="83">
        <f>1/12.1262</f>
        <v>0.08246606521416437</v>
      </c>
      <c r="S15" s="83">
        <f>1/11.7619</f>
        <v>0.08502027733614466</v>
      </c>
      <c r="T15" s="83">
        <f>1/11.2923</f>
        <v>0.08855591863482197</v>
      </c>
      <c r="U15" s="83">
        <f>1/11.7446</f>
        <v>0.08514551368288405</v>
      </c>
      <c r="V15" s="83">
        <f>1/11.736</f>
        <v>0.08520790729379686</v>
      </c>
      <c r="W15" s="83">
        <f>1/11.5461</f>
        <v>0.08660933128935312</v>
      </c>
      <c r="X15" s="83">
        <f>1/11.2483</f>
        <v>0.08890232301770044</v>
      </c>
      <c r="Y15" s="83">
        <f>1/11.601</f>
        <v>0.0861994655633135</v>
      </c>
      <c r="Z15" s="83">
        <f>1/11.2168</f>
        <v>0.08915198630625491</v>
      </c>
      <c r="AA15" s="83">
        <f>1/11.3535</f>
        <v>0.08807856608094419</v>
      </c>
      <c r="AB15" s="83">
        <f>1/11.8847</f>
        <v>0.08414179575420498</v>
      </c>
      <c r="AC15" s="83">
        <f>1/11.6567</f>
        <v>0.08578757281220242</v>
      </c>
      <c r="AD15" s="83">
        <f>1/11.7446</f>
        <v>0.08514551368288405</v>
      </c>
      <c r="AE15" s="83">
        <f>1/12.282</f>
        <v>0.08141996417521576</v>
      </c>
      <c r="AF15" s="83">
        <f>1/11.7407</f>
        <v>0.08517379713304998</v>
      </c>
      <c r="AG15" s="83">
        <f>1/11.5992</f>
        <v>0.0862128422649838</v>
      </c>
      <c r="AH15" s="83">
        <f>1/11.4978</f>
        <v>0.08697316008279846</v>
      </c>
      <c r="AI15" s="83">
        <f>1/11.5989</f>
        <v>0.08621507211890782</v>
      </c>
      <c r="AJ15" s="83">
        <f>1/11.2213</f>
        <v>0.08911623430440324</v>
      </c>
      <c r="AK15" s="83">
        <f>1/11.1059</f>
        <v>0.0900422298057789</v>
      </c>
      <c r="AL15" s="83">
        <f>1/10.7529</f>
        <v>0.09299816793609166</v>
      </c>
      <c r="AM15" s="83">
        <f>1/10.6948</f>
        <v>0.09350338482253057</v>
      </c>
      <c r="AN15" s="83">
        <f>1/10.907</f>
        <v>0.09168423947923351</v>
      </c>
      <c r="AO15" s="83">
        <f>1/10.7206</f>
        <v>0.09327836128574894</v>
      </c>
      <c r="AP15" s="83">
        <f>1/11.806</f>
        <v>0.08470269354565475</v>
      </c>
      <c r="AQ15" s="83">
        <f>1/12.8291</f>
        <v>0.07794779056987629</v>
      </c>
      <c r="AR15" s="83">
        <f>1/13.0643</f>
        <v>0.07654447616787735</v>
      </c>
      <c r="AS15" s="83">
        <f>1/13.1608</f>
        <v>0.07598322290438271</v>
      </c>
      <c r="AT15" s="83">
        <f>1/13.9706</f>
        <v>0.07157888709146351</v>
      </c>
      <c r="AU15" s="83">
        <f>1/14.3415</f>
        <v>0.069727713279643</v>
      </c>
      <c r="AV15" s="83">
        <f>1/13.8728</f>
        <v>0.07208350152817024</v>
      </c>
      <c r="AW15" s="83">
        <f>1/13.8362</f>
        <v>0.07227417932669375</v>
      </c>
      <c r="AX15" s="83">
        <f>1/14.0828</f>
        <v>0.07100860624307666</v>
      </c>
      <c r="AY15" s="83">
        <f>1/14.0398</f>
        <v>0.07122608584167865</v>
      </c>
      <c r="AZ15" s="83">
        <f>1/14.3044</f>
        <v>0.06990855960403793</v>
      </c>
      <c r="BA15" s="83">
        <f>1/14.1669</f>
        <v>0.07058707268350874</v>
      </c>
      <c r="BB15" s="258">
        <f>1/13.9229</f>
        <v>0.07182411710204052</v>
      </c>
      <c r="BC15" s="258">
        <f>1/14.2416</f>
        <v>0.07021682956971127</v>
      </c>
      <c r="BD15" s="258">
        <f>1/14.1833</f>
        <v>0.07050545359683572</v>
      </c>
      <c r="BE15" s="258">
        <f>1/14.525</f>
        <v>0.06884681583476764</v>
      </c>
      <c r="BF15" s="258">
        <f>1/14.3767</f>
        <v>0.06955699152100274</v>
      </c>
      <c r="BG15" s="258">
        <f>1/13.8408</f>
        <v>0.0722501589503497</v>
      </c>
      <c r="BH15" s="258">
        <f>1/13.8896</f>
        <v>0.07199631378873401</v>
      </c>
      <c r="BI15" s="258">
        <f>1/13.8016</f>
        <v>0.07245536749362393</v>
      </c>
      <c r="BJ15" s="258">
        <f>1/13.7527</f>
        <v>0.0727129945392541</v>
      </c>
      <c r="BK15" s="258">
        <f>1/15.0048</f>
        <v>0.06664534015781617</v>
      </c>
      <c r="BL15" s="258">
        <f>1/15.9805</f>
        <v>0.06257626482275273</v>
      </c>
      <c r="BM15" s="258">
        <f>1/15.4224</f>
        <v>0.06484075111526091</v>
      </c>
      <c r="BN15" s="258">
        <f>1/14.97</f>
        <v>0.0668002672010688</v>
      </c>
      <c r="BO15" s="258">
        <f>1/15.5595</f>
        <v>0.06426941739773129</v>
      </c>
      <c r="BP15" s="258">
        <f>1/15.1886</f>
        <v>0.0658388528238284</v>
      </c>
      <c r="BQ15" s="258">
        <f>1/14.4731</f>
        <v>0.06909369796380872</v>
      </c>
      <c r="BR15" s="258">
        <f>1/14.4452</f>
        <v>0.06922714811840612</v>
      </c>
      <c r="BS15" s="258">
        <f>1/16.3843</f>
        <v>0.06103403868337372</v>
      </c>
      <c r="BT15" s="258">
        <f>1/15.5129</f>
        <v>0.06446247961374083</v>
      </c>
      <c r="BU15" s="268">
        <f>1/14.8107</f>
        <v>0.06751875333373844</v>
      </c>
      <c r="BV15" s="268">
        <f>1/14.2861</f>
        <v>0.06999811005102863</v>
      </c>
      <c r="BW15" s="272">
        <f>1/14.4064</f>
        <v>0.06941359395824079</v>
      </c>
      <c r="BX15" s="272">
        <f>1/14.2015</f>
        <v>0.07041509699679611</v>
      </c>
      <c r="BY15" s="272">
        <f>1/13.2668</f>
        <v>0.07537612687309675</v>
      </c>
      <c r="BZ15" s="272">
        <f>1/12.91</f>
        <v>0.07745933384972889</v>
      </c>
    </row>
    <row r="16" spans="2:78" ht="19.5" customHeight="1">
      <c r="B16" s="64" t="s">
        <v>35</v>
      </c>
      <c r="C16" s="82"/>
      <c r="D16" s="82">
        <f>1/0.0679</f>
        <v>14.727540500736376</v>
      </c>
      <c r="E16" s="82">
        <f>1/0.0642</f>
        <v>15.576323987538942</v>
      </c>
      <c r="F16" s="83">
        <f>1/0.0654</f>
        <v>15.290519877675841</v>
      </c>
      <c r="G16" s="83">
        <f>1/0.0668</f>
        <v>14.970059880239521</v>
      </c>
      <c r="H16" s="83">
        <f>1/0.0636</f>
        <v>15.723270440251572</v>
      </c>
      <c r="I16" s="83">
        <f>1/0.0622</f>
        <v>16.077170418006432</v>
      </c>
      <c r="J16" s="83">
        <f>1/0.0636</f>
        <v>15.723270440251572</v>
      </c>
      <c r="K16" s="83">
        <f>1/0.0636</f>
        <v>15.723270440251572</v>
      </c>
      <c r="L16" s="83">
        <f>1/0.0616</f>
        <v>16.233766233766232</v>
      </c>
      <c r="M16" s="83">
        <f>1/0.0604</f>
        <v>16.556291390728475</v>
      </c>
      <c r="N16" s="83">
        <f>1/0.065</f>
        <v>15.384615384615383</v>
      </c>
      <c r="O16" s="84">
        <f>1/0.0695</f>
        <v>14.388489208633093</v>
      </c>
      <c r="P16" s="83">
        <f>1/0.0611</f>
        <v>16.366612111292962</v>
      </c>
      <c r="Q16" s="83">
        <f>1/0.061</f>
        <v>16.39344262295082</v>
      </c>
      <c r="R16" s="83">
        <f>1/0.0606</f>
        <v>16.5016501650165</v>
      </c>
      <c r="S16" s="83">
        <f>1/0.0588</f>
        <v>17.006802721088437</v>
      </c>
      <c r="T16" s="83">
        <f>1/0.0561</f>
        <v>17.825311942959004</v>
      </c>
      <c r="U16" s="83">
        <f>1/0.0505</f>
        <v>19.801980198019802</v>
      </c>
      <c r="V16" s="83">
        <f>1/0.0595</f>
        <v>16.80672268907563</v>
      </c>
      <c r="W16" s="83">
        <f>1/0.0587</f>
        <v>17.035775127768314</v>
      </c>
      <c r="X16" s="83">
        <f>1/0.0578</f>
        <v>17.301038062283737</v>
      </c>
      <c r="Y16" s="83">
        <f>1/0.052</f>
        <v>19.23076923076923</v>
      </c>
      <c r="Z16" s="83">
        <f>1/0.0578</f>
        <v>17.301038062283737</v>
      </c>
      <c r="AA16" s="83">
        <f>1/0.0574</f>
        <v>17.421602787456447</v>
      </c>
      <c r="AB16" s="83">
        <f>1/0.0572</f>
        <v>17.482517482517483</v>
      </c>
      <c r="AC16" s="83">
        <f>1/0.0572</f>
        <v>17.482517482517483</v>
      </c>
      <c r="AD16" s="83">
        <f>1/0.0594</f>
        <v>16.835016835016834</v>
      </c>
      <c r="AE16" s="83">
        <f>1/0.0621</f>
        <v>16.10305958132045</v>
      </c>
      <c r="AF16" s="83">
        <f>1/0.0599</f>
        <v>16.69449081803005</v>
      </c>
      <c r="AG16" s="83">
        <f>1/0.0585</f>
        <v>17.094017094017094</v>
      </c>
      <c r="AH16" s="83">
        <f>1/0.0573</f>
        <v>17.452006980802793</v>
      </c>
      <c r="AI16" s="83">
        <f>1/0.0573</f>
        <v>17.452006980802793</v>
      </c>
      <c r="AJ16" s="83">
        <f>1/0.0545</f>
        <v>18.34862385321101</v>
      </c>
      <c r="AK16" s="83">
        <f>1/0.0536</f>
        <v>18.65671641791045</v>
      </c>
      <c r="AL16" s="83">
        <f>1/0.0528</f>
        <v>18.93939393939394</v>
      </c>
      <c r="AM16" s="83">
        <f>1/0.0519</f>
        <v>19.267822736030826</v>
      </c>
      <c r="AN16" s="83">
        <f>1/0.0533</f>
        <v>18.76172607879925</v>
      </c>
      <c r="AO16" s="83">
        <f>1/0.0518</f>
        <v>19.305019305019304</v>
      </c>
      <c r="AP16" s="83">
        <f>1/0.0566</f>
        <v>17.6678445229682</v>
      </c>
      <c r="AQ16" s="83">
        <f>1/0.0607</f>
        <v>16.474464579901156</v>
      </c>
      <c r="AR16" s="83">
        <f>1/0.0613</f>
        <v>16.31321370309951</v>
      </c>
      <c r="AS16" s="83">
        <f>1/0.06</f>
        <v>16.666666666666668</v>
      </c>
      <c r="AT16" s="83">
        <f>1/0.0633</f>
        <v>15.797788309636653</v>
      </c>
      <c r="AU16" s="83">
        <f>1/0.0645</f>
        <v>15.503875968992247</v>
      </c>
      <c r="AV16" s="83">
        <f>1/0.0619</f>
        <v>16.155088852988694</v>
      </c>
      <c r="AW16" s="83">
        <f>1/0.0601</f>
        <v>16.638935108153078</v>
      </c>
      <c r="AX16" s="83">
        <f>1/0.0597</f>
        <v>16.75041876046901</v>
      </c>
      <c r="AY16" s="83">
        <f>1/0.0595</f>
        <v>16.80672268907563</v>
      </c>
      <c r="AZ16" s="83">
        <f>1/0.0627</f>
        <v>15.948963317384369</v>
      </c>
      <c r="BA16" s="83">
        <f>1/0.06</f>
        <v>16.666666666666668</v>
      </c>
      <c r="BB16" s="258">
        <f>1/0.0581</f>
        <v>17.21170395869191</v>
      </c>
      <c r="BC16" s="258">
        <f>1/0.0585</f>
        <v>17.094017094017094</v>
      </c>
      <c r="BD16" s="258">
        <f>1/0.0574</f>
        <v>17.421602787456447</v>
      </c>
      <c r="BE16" s="258">
        <f>1/0.062</f>
        <v>16.129032258064516</v>
      </c>
      <c r="BF16" s="258">
        <f>1/0.062</f>
        <v>16.129032258064516</v>
      </c>
      <c r="BG16" s="258">
        <f>1/0.0585</f>
        <v>17.094017094017094</v>
      </c>
      <c r="BH16" s="258">
        <f>1/0.0603</f>
        <v>16.58374792703151</v>
      </c>
      <c r="BI16" s="258">
        <f>1/0.0609</f>
        <v>16.420361247947454</v>
      </c>
      <c r="BJ16" s="258">
        <f>1/0.0647</f>
        <v>15.45595054095827</v>
      </c>
      <c r="BK16" s="258">
        <f>1/0.0713</f>
        <v>14.025245441795231</v>
      </c>
      <c r="BL16" s="258">
        <f>1/0.0791</f>
        <v>12.642225031605562</v>
      </c>
      <c r="BM16" s="258">
        <f>1/0.0761</f>
        <v>13.140604467805518</v>
      </c>
      <c r="BN16" s="258">
        <f>1/0.0732</f>
        <v>13.66120218579235</v>
      </c>
      <c r="BO16" s="258">
        <f>1/0.0742</f>
        <v>13.477088948787062</v>
      </c>
      <c r="BP16" s="258">
        <f>1/0.0716</f>
        <v>13.966480446927374</v>
      </c>
      <c r="BQ16" s="258">
        <f>1/0.0701</f>
        <v>14.265335235378032</v>
      </c>
      <c r="BR16" s="258">
        <f>1/0.0754</f>
        <v>13.262599469496022</v>
      </c>
      <c r="BS16" s="258">
        <f>1/0.0964</f>
        <v>10.37344398340249</v>
      </c>
      <c r="BT16" s="258">
        <f>1/0.1044</f>
        <v>9.578544061302681</v>
      </c>
      <c r="BU16" s="268">
        <f>1/0.1091</f>
        <v>9.165902841429881</v>
      </c>
      <c r="BV16" s="268">
        <f>1/0.1095</f>
        <v>9.132420091324201</v>
      </c>
      <c r="BW16" s="272">
        <f>1/0.1083</f>
        <v>9.233610341643583</v>
      </c>
      <c r="BX16" s="272">
        <f>1/0.1023</f>
        <v>9.775171065493646</v>
      </c>
      <c r="BY16" s="272">
        <f>1/0.0913</f>
        <v>10.952902519167578</v>
      </c>
      <c r="BZ16" s="272">
        <f>1/0.0866</f>
        <v>11.547344110854503</v>
      </c>
    </row>
    <row r="17" spans="2:77" ht="19.5" customHeight="1" hidden="1">
      <c r="B17" s="64" t="s">
        <v>36</v>
      </c>
      <c r="C17" s="85"/>
      <c r="D17" s="85"/>
      <c r="E17" s="85"/>
      <c r="F17" s="67"/>
      <c r="G17" s="67"/>
      <c r="H17" s="67"/>
      <c r="I17" s="67"/>
      <c r="J17" s="67"/>
      <c r="K17" s="67"/>
      <c r="L17" s="67"/>
      <c r="M17" s="67"/>
      <c r="N17" s="67"/>
      <c r="O17" s="69"/>
      <c r="P17" s="70"/>
      <c r="Q17" s="67"/>
      <c r="R17" s="70"/>
      <c r="S17" s="70"/>
      <c r="T17" s="70"/>
      <c r="U17" s="70"/>
      <c r="V17" s="70"/>
      <c r="W17" s="70"/>
      <c r="X17" s="70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256"/>
      <c r="BV17" s="256"/>
      <c r="BW17" s="266"/>
      <c r="BX17" s="266"/>
      <c r="BY17" s="266"/>
    </row>
    <row r="18" spans="2:78" ht="19.5" customHeight="1">
      <c r="B18" s="58"/>
      <c r="C18" s="86"/>
      <c r="D18" s="86"/>
      <c r="E18" s="87"/>
      <c r="F18" s="59"/>
      <c r="G18" s="59"/>
      <c r="H18" s="59"/>
      <c r="I18" s="88"/>
      <c r="J18" s="88"/>
      <c r="K18" s="59"/>
      <c r="L18" s="59"/>
      <c r="M18" s="62"/>
      <c r="N18" s="88"/>
      <c r="O18" s="62"/>
      <c r="P18" s="60"/>
      <c r="Q18" s="59"/>
      <c r="R18" s="60"/>
      <c r="S18" s="60"/>
      <c r="T18" s="63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265"/>
      <c r="BV18" s="265"/>
      <c r="BW18" s="265"/>
      <c r="BX18" s="265"/>
      <c r="BY18" s="265"/>
      <c r="BZ18" s="265"/>
    </row>
    <row r="19" spans="2:78" ht="19.5" customHeight="1">
      <c r="B19" s="132" t="s">
        <v>38</v>
      </c>
      <c r="C19" s="86"/>
      <c r="D19" s="86"/>
      <c r="E19" s="58"/>
      <c r="F19" s="59"/>
      <c r="G19" s="59"/>
      <c r="H19" s="59"/>
      <c r="I19" s="60"/>
      <c r="J19" s="60"/>
      <c r="K19" s="59"/>
      <c r="L19" s="59"/>
      <c r="M19" s="61"/>
      <c r="N19" s="60"/>
      <c r="O19" s="62"/>
      <c r="P19" s="60"/>
      <c r="Q19" s="59"/>
      <c r="R19" s="60"/>
      <c r="S19" s="60"/>
      <c r="T19" s="63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265"/>
      <c r="BV19" s="265"/>
      <c r="BW19" s="265"/>
      <c r="BX19" s="265"/>
      <c r="BY19" s="265"/>
      <c r="BZ19" s="265"/>
    </row>
    <row r="20" spans="2:78" ht="19.5" customHeight="1" thickBot="1">
      <c r="B20" s="133" t="s">
        <v>37</v>
      </c>
      <c r="C20" s="89"/>
      <c r="D20" s="89"/>
      <c r="E20" s="90"/>
      <c r="F20" s="91"/>
      <c r="G20" s="91"/>
      <c r="H20" s="91"/>
      <c r="I20" s="92"/>
      <c r="J20" s="92"/>
      <c r="K20" s="91"/>
      <c r="L20" s="91"/>
      <c r="M20" s="93"/>
      <c r="N20" s="92"/>
      <c r="O20" s="94"/>
      <c r="P20" s="92"/>
      <c r="Q20" s="91"/>
      <c r="R20" s="92"/>
      <c r="S20" s="92"/>
      <c r="T20" s="95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</row>
    <row r="21" ht="19.5" customHeight="1">
      <c r="B21" s="259" t="s">
        <v>106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70" zoomScaleNormal="70" zoomScaleSheetLayoutView="50" zoomScalePageLayoutView="0" workbookViewId="0" topLeftCell="A51">
      <selection activeCell="A4" sqref="A4:P77"/>
    </sheetView>
  </sheetViews>
  <sheetFormatPr defaultColWidth="9.140625" defaultRowHeight="12"/>
  <cols>
    <col min="11" max="11" width="8.7109375" style="0" customWidth="1"/>
  </cols>
  <sheetData>
    <row r="2" spans="1:15" ht="12.7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15"/>
      <c r="L2" s="15"/>
      <c r="M2" s="15"/>
      <c r="N2" s="15"/>
      <c r="O2" s="15"/>
    </row>
    <row r="3" spans="1:15" ht="13.5" customHeight="1">
      <c r="A3" s="16"/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20.25">
      <c r="A4" s="308" t="s">
        <v>169</v>
      </c>
      <c r="B4" s="308"/>
      <c r="C4" s="308"/>
      <c r="D4" s="308"/>
      <c r="E4" s="308"/>
      <c r="F4" s="308"/>
      <c r="G4" s="308"/>
      <c r="H4" s="308"/>
      <c r="I4" s="308"/>
      <c r="J4" s="308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1:15" ht="12.75">
      <c r="K38" s="18"/>
      <c r="L38" s="15"/>
      <c r="M38" s="15"/>
      <c r="N38" s="15"/>
      <c r="O38" s="15"/>
    </row>
    <row r="39" spans="1:1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20.25">
      <c r="A40" s="15"/>
      <c r="B40" s="308" t="s">
        <v>148</v>
      </c>
      <c r="C40" s="308"/>
      <c r="D40" s="308"/>
      <c r="E40" s="308"/>
      <c r="F40" s="308"/>
      <c r="G40" s="308"/>
      <c r="H40" s="308"/>
      <c r="I40" s="308"/>
      <c r="J40" s="308"/>
      <c r="K40" s="308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L54" s="15"/>
      <c r="M54" s="15"/>
      <c r="N54" s="15"/>
      <c r="O54" s="15"/>
    </row>
    <row r="55" spans="1:21" ht="20.25">
      <c r="A55" s="15"/>
      <c r="B55" s="15"/>
      <c r="C55" s="216"/>
      <c r="H55" s="15"/>
      <c r="I55" s="15"/>
      <c r="J55" s="15"/>
      <c r="K55" s="15"/>
      <c r="L55" s="15"/>
      <c r="M55" s="15"/>
      <c r="N55" s="15"/>
      <c r="O55" s="15"/>
      <c r="U55" t="s">
        <v>126</v>
      </c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20.25">
      <c r="A61" s="15"/>
      <c r="B61" s="15"/>
      <c r="C61" s="15"/>
      <c r="D61" s="216"/>
      <c r="E61" s="216"/>
      <c r="F61" s="216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</sheetData>
  <sheetProtection/>
  <mergeCells count="3">
    <mergeCell ref="A2:J2"/>
    <mergeCell ref="A4:J4"/>
    <mergeCell ref="B40:K40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tabSelected="1" zoomScalePageLayoutView="0" workbookViewId="0" topLeftCell="A73">
      <selection activeCell="F79" sqref="F79:G79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126</v>
      </c>
    </row>
    <row r="2" spans="1:11" ht="11.25">
      <c r="A2" s="152"/>
      <c r="B2" s="278" t="s">
        <v>78</v>
      </c>
      <c r="C2" s="279"/>
      <c r="D2" s="279"/>
      <c r="E2" s="279"/>
      <c r="F2" s="279"/>
      <c r="G2" s="279"/>
      <c r="H2" s="279"/>
      <c r="I2" s="279"/>
      <c r="J2" s="279"/>
      <c r="K2" s="280"/>
    </row>
    <row r="3" spans="1:11" ht="11.25">
      <c r="A3" s="152"/>
      <c r="B3" s="287" t="s">
        <v>119</v>
      </c>
      <c r="C3" s="288"/>
      <c r="D3" s="288"/>
      <c r="E3" s="288"/>
      <c r="F3" s="288"/>
      <c r="G3" s="288"/>
      <c r="H3" s="288"/>
      <c r="I3" s="288"/>
      <c r="J3" s="288"/>
      <c r="K3" s="289"/>
    </row>
    <row r="4" spans="1:11" ht="11.25">
      <c r="A4" s="152"/>
      <c r="B4" s="154"/>
      <c r="C4" s="109"/>
      <c r="D4" s="43"/>
      <c r="E4" s="109"/>
      <c r="F4" s="281" t="s">
        <v>113</v>
      </c>
      <c r="G4" s="282"/>
      <c r="H4" s="175" t="s">
        <v>136</v>
      </c>
      <c r="I4" s="281" t="s">
        <v>137</v>
      </c>
      <c r="J4" s="298"/>
      <c r="K4" s="299"/>
    </row>
    <row r="5" spans="1:11" ht="11.25">
      <c r="A5" s="152"/>
      <c r="B5" s="155"/>
      <c r="C5" s="12">
        <v>39596</v>
      </c>
      <c r="D5" s="108">
        <v>39931</v>
      </c>
      <c r="E5" s="108">
        <v>39961</v>
      </c>
      <c r="F5" s="12" t="s">
        <v>116</v>
      </c>
      <c r="G5" s="99" t="s">
        <v>115</v>
      </c>
      <c r="H5" s="99" t="s">
        <v>138</v>
      </c>
      <c r="I5" s="12">
        <v>39873</v>
      </c>
      <c r="J5" s="12">
        <v>39904</v>
      </c>
      <c r="K5" s="12">
        <v>39934</v>
      </c>
    </row>
    <row r="6" spans="1:12" ht="11.25">
      <c r="A6" s="152"/>
      <c r="B6" s="156" t="s">
        <v>56</v>
      </c>
      <c r="C6" s="192">
        <v>10433.0586817</v>
      </c>
      <c r="D6" s="192">
        <v>14405.11418372</v>
      </c>
      <c r="E6" s="192">
        <v>14405.11418372</v>
      </c>
      <c r="F6" s="192">
        <v>0</v>
      </c>
      <c r="G6" s="192">
        <v>3972.055502019999</v>
      </c>
      <c r="H6" s="193">
        <v>0</v>
      </c>
      <c r="I6" s="193">
        <v>45.981967199921</v>
      </c>
      <c r="J6" s="193">
        <v>31.59315413625898</v>
      </c>
      <c r="K6" s="235">
        <v>38.071821727478074</v>
      </c>
      <c r="L6" s="55"/>
    </row>
    <row r="7" spans="1:12" ht="11.25">
      <c r="A7" s="152"/>
      <c r="B7" s="156" t="s">
        <v>154</v>
      </c>
      <c r="C7" s="192">
        <v>9497.82232184</v>
      </c>
      <c r="D7" s="192">
        <v>13990.45048788</v>
      </c>
      <c r="E7" s="192">
        <v>13990.45048788</v>
      </c>
      <c r="F7" s="192">
        <v>0</v>
      </c>
      <c r="G7" s="192">
        <v>4492.62816604</v>
      </c>
      <c r="H7" s="193">
        <v>0</v>
      </c>
      <c r="I7" s="193">
        <v>56.38601993450656</v>
      </c>
      <c r="J7" s="193">
        <v>40.06713893426339</v>
      </c>
      <c r="K7" s="235">
        <v>47.3016657271985</v>
      </c>
      <c r="L7" s="55"/>
    </row>
    <row r="8" spans="1:12" ht="11.25">
      <c r="A8" s="152"/>
      <c r="B8" s="157" t="s">
        <v>57</v>
      </c>
      <c r="C8" s="194">
        <v>9295.83393585</v>
      </c>
      <c r="D8" s="194">
        <v>7853.1366665099995</v>
      </c>
      <c r="E8" s="194">
        <v>7853.1366665099995</v>
      </c>
      <c r="F8" s="194">
        <v>0</v>
      </c>
      <c r="G8" s="194">
        <v>-1442.6972693400003</v>
      </c>
      <c r="H8" s="195">
        <v>0</v>
      </c>
      <c r="I8" s="195">
        <v>-10.636718115559828</v>
      </c>
      <c r="J8" s="195">
        <v>-20.025740598907493</v>
      </c>
      <c r="K8" s="236">
        <v>-15.519826185536111</v>
      </c>
      <c r="L8" s="55"/>
    </row>
    <row r="9" spans="1:12" ht="11.25">
      <c r="A9" s="152"/>
      <c r="B9" s="157" t="s">
        <v>58</v>
      </c>
      <c r="C9" s="194">
        <v>9.999999999999999E-09</v>
      </c>
      <c r="D9" s="194">
        <v>6023.976424480001</v>
      </c>
      <c r="E9" s="194">
        <v>6023.976424480001</v>
      </c>
      <c r="F9" s="194">
        <v>0</v>
      </c>
      <c r="G9" s="194">
        <v>6023.976424470001</v>
      </c>
      <c r="H9" s="195">
        <v>0</v>
      </c>
      <c r="I9" s="195">
        <v>0</v>
      </c>
      <c r="J9" s="195">
        <v>0</v>
      </c>
      <c r="K9" s="236">
        <v>0</v>
      </c>
      <c r="L9" s="55"/>
    </row>
    <row r="10" spans="1:12" ht="11.25">
      <c r="A10" s="152"/>
      <c r="B10" s="157" t="s">
        <v>59</v>
      </c>
      <c r="C10" s="194">
        <v>201.98838598</v>
      </c>
      <c r="D10" s="194">
        <v>113.33739689000004</v>
      </c>
      <c r="E10" s="194">
        <v>113.33739689000004</v>
      </c>
      <c r="F10" s="194">
        <v>0</v>
      </c>
      <c r="G10" s="194">
        <v>-88.65098908999997</v>
      </c>
      <c r="H10" s="195">
        <v>0</v>
      </c>
      <c r="I10" s="195">
        <v>-28.368095227413082</v>
      </c>
      <c r="J10" s="195">
        <v>-32.860370576929775</v>
      </c>
      <c r="K10" s="236">
        <v>-43.88915167567</v>
      </c>
      <c r="L10" s="55"/>
    </row>
    <row r="11" spans="1:12" ht="11.25">
      <c r="A11" s="152"/>
      <c r="B11" s="156" t="s">
        <v>60</v>
      </c>
      <c r="C11" s="192">
        <v>935.2363598599999</v>
      </c>
      <c r="D11" s="192">
        <v>414.66369584</v>
      </c>
      <c r="E11" s="192">
        <v>414.66369584</v>
      </c>
      <c r="F11" s="192">
        <v>0</v>
      </c>
      <c r="G11" s="192">
        <v>-520.5726640199998</v>
      </c>
      <c r="H11" s="193">
        <v>0</v>
      </c>
      <c r="I11" s="193">
        <v>-55.007811545075505</v>
      </c>
      <c r="J11" s="193">
        <v>-56.729962075088416</v>
      </c>
      <c r="K11" s="235">
        <v>-55.66214984390972</v>
      </c>
      <c r="L11" s="55"/>
    </row>
    <row r="12" spans="1:12" ht="11.25">
      <c r="A12" s="152"/>
      <c r="B12" s="157" t="s">
        <v>101</v>
      </c>
      <c r="C12" s="194">
        <v>912.6315649799999</v>
      </c>
      <c r="D12" s="194">
        <v>391.47127896</v>
      </c>
      <c r="E12" s="194">
        <v>391.47127896</v>
      </c>
      <c r="F12" s="194">
        <v>0</v>
      </c>
      <c r="G12" s="194">
        <v>-521.1602860199998</v>
      </c>
      <c r="H12" s="195">
        <v>0</v>
      </c>
      <c r="I12" s="195">
        <v>-56.519956043648925</v>
      </c>
      <c r="J12" s="195">
        <v>-58.175455551483736</v>
      </c>
      <c r="K12" s="236">
        <v>-57.10522252552387</v>
      </c>
      <c r="L12" s="55"/>
    </row>
    <row r="13" spans="1:12" ht="11.25">
      <c r="A13" s="152"/>
      <c r="B13" s="157" t="s">
        <v>79</v>
      </c>
      <c r="C13" s="194">
        <v>0</v>
      </c>
      <c r="D13" s="194">
        <v>0.03722773</v>
      </c>
      <c r="E13" s="194">
        <v>0.03722773</v>
      </c>
      <c r="F13" s="194">
        <v>0</v>
      </c>
      <c r="G13" s="194">
        <v>0.03722773</v>
      </c>
      <c r="H13" s="195">
        <v>0</v>
      </c>
      <c r="I13" s="195">
        <v>0</v>
      </c>
      <c r="J13" s="195">
        <v>0</v>
      </c>
      <c r="K13" s="236">
        <v>0</v>
      </c>
      <c r="L13" s="55"/>
    </row>
    <row r="14" spans="1:12" ht="11.25">
      <c r="A14" s="152"/>
      <c r="B14" s="157" t="s">
        <v>61</v>
      </c>
      <c r="C14" s="194">
        <v>22.604794880000004</v>
      </c>
      <c r="D14" s="194">
        <v>23.155189150000005</v>
      </c>
      <c r="E14" s="194">
        <v>23.155189150000005</v>
      </c>
      <c r="F14" s="194">
        <v>0</v>
      </c>
      <c r="G14" s="194">
        <v>0.5503942700000017</v>
      </c>
      <c r="H14" s="195">
        <v>0</v>
      </c>
      <c r="I14" s="195">
        <v>8.771860979586688</v>
      </c>
      <c r="J14" s="195">
        <v>3.688757348125571</v>
      </c>
      <c r="K14" s="236">
        <v>2.4348562901005177</v>
      </c>
      <c r="L14" s="55"/>
    </row>
    <row r="15" spans="1:12" ht="11.25">
      <c r="A15" s="152"/>
      <c r="B15" s="158"/>
      <c r="C15" s="192"/>
      <c r="D15" s="192"/>
      <c r="E15" s="192"/>
      <c r="F15" s="192"/>
      <c r="G15" s="192"/>
      <c r="H15" s="193"/>
      <c r="I15" s="193"/>
      <c r="J15" s="193"/>
      <c r="K15" s="235"/>
      <c r="L15" s="55"/>
    </row>
    <row r="16" spans="1:12" ht="11.25">
      <c r="A16" s="152"/>
      <c r="B16" s="156" t="s">
        <v>62</v>
      </c>
      <c r="C16" s="192">
        <v>10433.068107169998</v>
      </c>
      <c r="D16" s="192">
        <v>14405.135303220006</v>
      </c>
      <c r="E16" s="192">
        <v>14405.135303220006</v>
      </c>
      <c r="F16" s="192">
        <v>0</v>
      </c>
      <c r="G16" s="192">
        <v>3972.0671960500076</v>
      </c>
      <c r="H16" s="193">
        <v>0</v>
      </c>
      <c r="I16" s="193">
        <v>45.98246717396328</v>
      </c>
      <c r="J16" s="193">
        <v>31.593523076313666</v>
      </c>
      <c r="K16" s="235">
        <v>38.07189941873621</v>
      </c>
      <c r="L16" s="55"/>
    </row>
    <row r="17" spans="1:12" ht="11.25">
      <c r="A17" s="152"/>
      <c r="B17" s="156" t="s">
        <v>63</v>
      </c>
      <c r="C17" s="192">
        <v>2451.711100529997</v>
      </c>
      <c r="D17" s="192">
        <v>3653.6152545400064</v>
      </c>
      <c r="E17" s="192">
        <v>3653.6152545400064</v>
      </c>
      <c r="F17" s="192">
        <v>0</v>
      </c>
      <c r="G17" s="192">
        <v>1201.9041540100093</v>
      </c>
      <c r="H17" s="193">
        <v>0</v>
      </c>
      <c r="I17" s="195">
        <v>49.17778167274554</v>
      </c>
      <c r="J17" s="195">
        <v>51.185012928031725</v>
      </c>
      <c r="K17" s="235">
        <v>49.023074282699476</v>
      </c>
      <c r="L17" s="55"/>
    </row>
    <row r="18" spans="1:12" ht="11.25">
      <c r="A18" s="152"/>
      <c r="B18" s="157" t="s">
        <v>64</v>
      </c>
      <c r="C18" s="194">
        <v>1266.5462762</v>
      </c>
      <c r="D18" s="194">
        <v>1531.83262455</v>
      </c>
      <c r="E18" s="194">
        <v>1531.83262455</v>
      </c>
      <c r="F18" s="194">
        <v>0</v>
      </c>
      <c r="G18" s="194">
        <v>265.28634835</v>
      </c>
      <c r="H18" s="195">
        <v>0</v>
      </c>
      <c r="I18" s="195">
        <v>21.28550239557745</v>
      </c>
      <c r="J18" s="195">
        <v>21.563519972111834</v>
      </c>
      <c r="K18" s="236">
        <v>20.945649861759087</v>
      </c>
      <c r="L18" s="55"/>
    </row>
    <row r="19" spans="1:12" ht="11.25">
      <c r="A19" s="152"/>
      <c r="B19" s="157" t="s">
        <v>65</v>
      </c>
      <c r="C19" s="194">
        <v>1185.1648243299971</v>
      </c>
      <c r="D19" s="194">
        <v>2121.782629990006</v>
      </c>
      <c r="E19" s="194">
        <v>2121.782629990006</v>
      </c>
      <c r="F19" s="194">
        <v>0</v>
      </c>
      <c r="G19" s="194">
        <v>936.617805660009</v>
      </c>
      <c r="H19" s="195">
        <v>0</v>
      </c>
      <c r="I19" s="195">
        <v>78.8765918219499</v>
      </c>
      <c r="J19" s="195">
        <v>83.45904535716826</v>
      </c>
      <c r="K19" s="236">
        <v>79.02848502017447</v>
      </c>
      <c r="L19" s="55"/>
    </row>
    <row r="20" spans="1:12" ht="11.25">
      <c r="A20" s="152"/>
      <c r="B20" s="156" t="s">
        <v>102</v>
      </c>
      <c r="C20" s="192">
        <v>8063.77263627</v>
      </c>
      <c r="D20" s="192">
        <v>10687.10945384</v>
      </c>
      <c r="E20" s="192">
        <v>10687.10945384</v>
      </c>
      <c r="F20" s="192">
        <v>0</v>
      </c>
      <c r="G20" s="192">
        <v>2623.3368175699998</v>
      </c>
      <c r="H20" s="193">
        <v>0</v>
      </c>
      <c r="I20" s="193">
        <v>42.420824354150554</v>
      </c>
      <c r="J20" s="193">
        <v>23.747948628757996</v>
      </c>
      <c r="K20" s="235">
        <v>32.532375798525216</v>
      </c>
      <c r="L20" s="55"/>
    </row>
    <row r="21" spans="1:12" ht="11.25">
      <c r="A21" s="152"/>
      <c r="B21" s="157" t="s">
        <v>155</v>
      </c>
      <c r="C21" s="194">
        <v>6079.145331299999</v>
      </c>
      <c r="D21" s="194">
        <v>7233.5135708299995</v>
      </c>
      <c r="E21" s="194">
        <v>7233.5135708299995</v>
      </c>
      <c r="F21" s="194">
        <v>0</v>
      </c>
      <c r="G21" s="194">
        <v>1154.3682395300002</v>
      </c>
      <c r="H21" s="195">
        <v>0</v>
      </c>
      <c r="I21" s="195">
        <v>49.39529897402242</v>
      </c>
      <c r="J21" s="195">
        <v>10.06479834436984</v>
      </c>
      <c r="K21" s="236">
        <v>18.988989020980405</v>
      </c>
      <c r="L21" s="55"/>
    </row>
    <row r="22" spans="1:12" ht="11.25">
      <c r="A22" s="152"/>
      <c r="B22" s="159" t="s">
        <v>66</v>
      </c>
      <c r="C22" s="194">
        <v>1984.6273049700005</v>
      </c>
      <c r="D22" s="194">
        <v>3453.59588301</v>
      </c>
      <c r="E22" s="194">
        <v>3453.59588301</v>
      </c>
      <c r="F22" s="194">
        <v>0</v>
      </c>
      <c r="G22" s="194">
        <v>1468.9685780399993</v>
      </c>
      <c r="H22" s="195">
        <v>0</v>
      </c>
      <c r="I22" s="195">
        <v>29.73524449257723</v>
      </c>
      <c r="J22" s="195">
        <v>67.31393492056645</v>
      </c>
      <c r="K22" s="236">
        <v>74.01735199154706</v>
      </c>
      <c r="L22" s="55"/>
    </row>
    <row r="23" spans="1:12" ht="11.25">
      <c r="A23" s="152"/>
      <c r="B23" s="160" t="s">
        <v>0</v>
      </c>
      <c r="C23" s="194">
        <v>4.62835914</v>
      </c>
      <c r="D23" s="194">
        <v>8.1691562</v>
      </c>
      <c r="E23" s="194">
        <v>8.1691562</v>
      </c>
      <c r="F23" s="194">
        <v>0</v>
      </c>
      <c r="G23" s="194">
        <v>3.54079706</v>
      </c>
      <c r="H23" s="195">
        <v>0</v>
      </c>
      <c r="I23" s="195">
        <v>-22.784999359545523</v>
      </c>
      <c r="J23" s="195">
        <v>46.12659800036809</v>
      </c>
      <c r="K23" s="236">
        <v>76.50221067330571</v>
      </c>
      <c r="L23" s="55"/>
    </row>
    <row r="24" spans="1:12" ht="11.25">
      <c r="A24" s="152"/>
      <c r="B24" s="160" t="s">
        <v>103</v>
      </c>
      <c r="C24" s="194">
        <v>55.92207057999998</v>
      </c>
      <c r="D24" s="194">
        <v>120.39649695000008</v>
      </c>
      <c r="E24" s="194">
        <v>120.39649695000008</v>
      </c>
      <c r="F24" s="194">
        <v>0</v>
      </c>
      <c r="G24" s="194">
        <v>64.4744263700001</v>
      </c>
      <c r="H24" s="195">
        <v>0</v>
      </c>
      <c r="I24" s="195">
        <v>165.65770152316236</v>
      </c>
      <c r="J24" s="195">
        <v>210.63708855762263</v>
      </c>
      <c r="K24" s="236">
        <v>115.293346081965</v>
      </c>
      <c r="L24" s="55"/>
    </row>
    <row r="25" spans="1:12" ht="12" thickBot="1">
      <c r="A25" s="152"/>
      <c r="B25" s="161" t="s">
        <v>96</v>
      </c>
      <c r="C25" s="237">
        <v>-142.96605935000008</v>
      </c>
      <c r="D25" s="237">
        <v>-64.15505831000004</v>
      </c>
      <c r="E25" s="237">
        <v>-64.15505831000004</v>
      </c>
      <c r="F25" s="237">
        <v>0</v>
      </c>
      <c r="G25" s="237">
        <v>78.81100104000004</v>
      </c>
      <c r="H25" s="238">
        <v>0</v>
      </c>
      <c r="I25" s="238">
        <v>-54.579730268341045</v>
      </c>
      <c r="J25" s="238">
        <v>-57.37237571968081</v>
      </c>
      <c r="K25" s="239">
        <v>-55.12567206392682</v>
      </c>
      <c r="L25" s="55"/>
    </row>
    <row r="26" spans="2:12" ht="12" customHeight="1" hidden="1">
      <c r="B26" s="98" t="s">
        <v>77</v>
      </c>
      <c r="C26" s="196">
        <v>0.0005970500023977365</v>
      </c>
      <c r="D26" s="196">
        <v>-0.044205399997736095</v>
      </c>
      <c r="E26" s="196">
        <v>-0.01117267999870819</v>
      </c>
      <c r="F26" s="196">
        <v>0.033032719999027904</v>
      </c>
      <c r="G26" s="196">
        <v>-0.011769730001105927</v>
      </c>
      <c r="H26" s="196">
        <v>0.00021239155370395896</v>
      </c>
      <c r="I26" s="196">
        <v>0.0006087325444852354</v>
      </c>
      <c r="J26" s="196">
        <v>-3.799632619916338E-05</v>
      </c>
      <c r="K26" s="197">
        <v>-0.0001264041925139736</v>
      </c>
      <c r="L26" s="55">
        <f>(E26-C26)/C26*100</f>
        <v>-1971.3139525733209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52"/>
      <c r="B30" s="278" t="s">
        <v>78</v>
      </c>
      <c r="C30" s="279"/>
      <c r="D30" s="279"/>
      <c r="E30" s="279"/>
      <c r="F30" s="279"/>
      <c r="G30" s="279"/>
      <c r="H30" s="279"/>
      <c r="I30" s="279"/>
      <c r="J30" s="279"/>
      <c r="K30" s="280"/>
      <c r="L30" s="152"/>
    </row>
    <row r="31" spans="1:12" ht="11.25">
      <c r="A31" s="152"/>
      <c r="B31" s="287" t="s">
        <v>120</v>
      </c>
      <c r="C31" s="288"/>
      <c r="D31" s="288"/>
      <c r="E31" s="288"/>
      <c r="F31" s="288"/>
      <c r="G31" s="288"/>
      <c r="H31" s="288"/>
      <c r="I31" s="288"/>
      <c r="J31" s="288"/>
      <c r="K31" s="289"/>
      <c r="L31" s="152"/>
    </row>
    <row r="32" spans="1:12" ht="11.25">
      <c r="A32" s="152"/>
      <c r="B32" s="154"/>
      <c r="C32" s="109"/>
      <c r="D32" s="43"/>
      <c r="E32" s="109"/>
      <c r="F32" s="281" t="s">
        <v>113</v>
      </c>
      <c r="G32" s="282"/>
      <c r="H32" s="175" t="s">
        <v>136</v>
      </c>
      <c r="I32" s="281" t="s">
        <v>137</v>
      </c>
      <c r="J32" s="298"/>
      <c r="K32" s="299"/>
      <c r="L32" s="152"/>
    </row>
    <row r="33" spans="1:12" ht="11.25">
      <c r="A33" s="152"/>
      <c r="B33" s="155"/>
      <c r="C33" s="12">
        <f>C5</f>
        <v>39596</v>
      </c>
      <c r="D33" s="108">
        <f>D5</f>
        <v>39931</v>
      </c>
      <c r="E33" s="12">
        <f>E5</f>
        <v>39961</v>
      </c>
      <c r="F33" s="12" t="s">
        <v>116</v>
      </c>
      <c r="G33" s="99" t="s">
        <v>115</v>
      </c>
      <c r="H33" s="99" t="s">
        <v>138</v>
      </c>
      <c r="I33" s="12">
        <f>I5</f>
        <v>39873</v>
      </c>
      <c r="J33" s="12">
        <f>J5</f>
        <v>39904</v>
      </c>
      <c r="K33" s="223">
        <f>K5</f>
        <v>39934</v>
      </c>
      <c r="L33" s="152"/>
    </row>
    <row r="34" spans="1:12" ht="11.25">
      <c r="A34" s="152"/>
      <c r="B34" s="162" t="s">
        <v>56</v>
      </c>
      <c r="C34" s="207">
        <v>43391.56934919424</v>
      </c>
      <c r="D34" s="207">
        <v>47119.108578567946</v>
      </c>
      <c r="E34" s="207">
        <v>46763.37780917501</v>
      </c>
      <c r="F34" s="207">
        <v>-355.7307693929397</v>
      </c>
      <c r="G34" s="207">
        <v>3371.80845998077</v>
      </c>
      <c r="H34" s="208">
        <v>-0.754960737000749</v>
      </c>
      <c r="I34" s="208">
        <v>10.608925886935673</v>
      </c>
      <c r="J34" s="208">
        <v>8.304740025377132</v>
      </c>
      <c r="K34" s="240">
        <v>7.759469202151115</v>
      </c>
      <c r="L34" s="152"/>
    </row>
    <row r="35" spans="1:12" ht="11.25">
      <c r="A35" s="152"/>
      <c r="B35" s="162" t="s">
        <v>154</v>
      </c>
      <c r="C35" s="207">
        <v>3460.5772335442466</v>
      </c>
      <c r="D35" s="207">
        <v>3140.924519300931</v>
      </c>
      <c r="E35" s="207">
        <v>2735.2712409628466</v>
      </c>
      <c r="F35" s="207">
        <v>-405.6532783380844</v>
      </c>
      <c r="G35" s="207">
        <v>-725.3059925814</v>
      </c>
      <c r="H35" s="208">
        <v>-12.915091586739875</v>
      </c>
      <c r="I35" s="208">
        <v>-12.540096263235966</v>
      </c>
      <c r="J35" s="208">
        <v>-8.82425758633013</v>
      </c>
      <c r="K35" s="240">
        <v>-20.95910432371878</v>
      </c>
      <c r="L35" s="152"/>
    </row>
    <row r="36" spans="1:12" ht="11.25">
      <c r="A36" s="152"/>
      <c r="B36" s="163" t="s">
        <v>67</v>
      </c>
      <c r="C36" s="209">
        <v>182.84411232000002</v>
      </c>
      <c r="D36" s="209">
        <v>273.2987093090242</v>
      </c>
      <c r="E36" s="209">
        <v>240.2747661044834</v>
      </c>
      <c r="F36" s="209">
        <v>-33.023943204540814</v>
      </c>
      <c r="G36" s="209">
        <v>57.43065378448338</v>
      </c>
      <c r="H36" s="210">
        <v>-12.083461092090264</v>
      </c>
      <c r="I36" s="210">
        <v>33.662553235254734</v>
      </c>
      <c r="J36" s="210">
        <v>24.440096289598713</v>
      </c>
      <c r="K36" s="241">
        <v>31.409627061971012</v>
      </c>
      <c r="L36" s="152"/>
    </row>
    <row r="37" spans="1:12" ht="11.25">
      <c r="A37" s="152"/>
      <c r="B37" s="163" t="s">
        <v>57</v>
      </c>
      <c r="C37" s="209">
        <v>3219.9231212242466</v>
      </c>
      <c r="D37" s="209">
        <v>2510.2224993339614</v>
      </c>
      <c r="E37" s="209">
        <v>2180.140577611925</v>
      </c>
      <c r="F37" s="209">
        <v>-330.08192172203644</v>
      </c>
      <c r="G37" s="209">
        <v>-1039.7825436123217</v>
      </c>
      <c r="H37" s="210">
        <v>-13.149508531997354</v>
      </c>
      <c r="I37" s="210">
        <v>-28.119628878086978</v>
      </c>
      <c r="J37" s="210">
        <v>-20.7818769905029</v>
      </c>
      <c r="K37" s="241">
        <v>-32.29215432997624</v>
      </c>
      <c r="L37" s="152"/>
    </row>
    <row r="38" spans="1:12" ht="11.25">
      <c r="A38" s="152"/>
      <c r="B38" s="163" t="s">
        <v>68</v>
      </c>
      <c r="C38" s="209">
        <v>57.81</v>
      </c>
      <c r="D38" s="209">
        <v>84.876</v>
      </c>
      <c r="E38" s="209">
        <v>86.453</v>
      </c>
      <c r="F38" s="209">
        <v>1.5769999999999982</v>
      </c>
      <c r="G38" s="209">
        <v>28.643</v>
      </c>
      <c r="H38" s="210">
        <v>1.8580046185022834</v>
      </c>
      <c r="I38" s="210">
        <v>53.358041127682924</v>
      </c>
      <c r="J38" s="210">
        <v>50.11142159810409</v>
      </c>
      <c r="K38" s="241">
        <v>49.54679121259298</v>
      </c>
      <c r="L38" s="152"/>
    </row>
    <row r="39" spans="1:12" ht="11.25">
      <c r="A39" s="152"/>
      <c r="B39" s="163" t="s">
        <v>69</v>
      </c>
      <c r="C39" s="209">
        <v>0</v>
      </c>
      <c r="D39" s="209">
        <v>272.5273106579452</v>
      </c>
      <c r="E39" s="209">
        <v>228.40289724643839</v>
      </c>
      <c r="F39" s="209">
        <v>-44.124413411506794</v>
      </c>
      <c r="G39" s="209">
        <v>228.40289724643839</v>
      </c>
      <c r="H39" s="210">
        <v>-16.19082260232197</v>
      </c>
      <c r="I39" s="210">
        <v>0</v>
      </c>
      <c r="J39" s="210">
        <v>0</v>
      </c>
      <c r="K39" s="241">
        <v>0</v>
      </c>
      <c r="L39" s="152"/>
    </row>
    <row r="40" spans="1:12" ht="11.25">
      <c r="A40" s="152"/>
      <c r="B40" s="162" t="s">
        <v>60</v>
      </c>
      <c r="C40" s="207">
        <v>37861.436793789995</v>
      </c>
      <c r="D40" s="207">
        <v>41662.51181143701</v>
      </c>
      <c r="E40" s="207">
        <v>41963.378965503594</v>
      </c>
      <c r="F40" s="207">
        <v>300.86715406658186</v>
      </c>
      <c r="G40" s="207">
        <v>4101.942171713599</v>
      </c>
      <c r="H40" s="208">
        <v>0.7221531803658298</v>
      </c>
      <c r="I40" s="208">
        <v>11.363476759966161</v>
      </c>
      <c r="J40" s="208">
        <v>9.063232478439275</v>
      </c>
      <c r="K40" s="240">
        <v>10.834090090279936</v>
      </c>
      <c r="L40" s="152"/>
    </row>
    <row r="41" spans="1:12" ht="11.25">
      <c r="A41" s="152"/>
      <c r="B41" s="163" t="s">
        <v>80</v>
      </c>
      <c r="C41" s="209">
        <v>1495.0793678300001</v>
      </c>
      <c r="D41" s="209">
        <v>2073.0992401670137</v>
      </c>
      <c r="E41" s="209">
        <v>2210.181807393591</v>
      </c>
      <c r="F41" s="209">
        <v>137.08256722657734</v>
      </c>
      <c r="G41" s="209">
        <v>715.1024395635909</v>
      </c>
      <c r="H41" s="210">
        <v>6.612445973186197</v>
      </c>
      <c r="I41" s="210">
        <v>59.59416966629077</v>
      </c>
      <c r="J41" s="210">
        <v>38.32310191492614</v>
      </c>
      <c r="K41" s="241">
        <v>47.83039984034496</v>
      </c>
      <c r="L41" s="152"/>
    </row>
    <row r="42" spans="1:12" ht="11.25">
      <c r="A42" s="152"/>
      <c r="B42" s="163" t="s">
        <v>79</v>
      </c>
      <c r="C42" s="209">
        <v>2465.88807976</v>
      </c>
      <c r="D42" s="209">
        <v>2093.51726217</v>
      </c>
      <c r="E42" s="209">
        <v>1978.24099809</v>
      </c>
      <c r="F42" s="209">
        <v>-115.27626407999992</v>
      </c>
      <c r="G42" s="209">
        <v>-487.64708167000003</v>
      </c>
      <c r="H42" s="210">
        <v>-5.506344091976211</v>
      </c>
      <c r="I42" s="210">
        <v>-1.758018393070293</v>
      </c>
      <c r="J42" s="210">
        <v>-14.267262678692227</v>
      </c>
      <c r="K42" s="241">
        <v>-19.775718357722937</v>
      </c>
      <c r="L42" s="152"/>
    </row>
    <row r="43" spans="1:12" ht="11.25">
      <c r="A43" s="152"/>
      <c r="B43" s="163" t="s">
        <v>50</v>
      </c>
      <c r="C43" s="209">
        <v>2725.43848807</v>
      </c>
      <c r="D43" s="209">
        <v>2749.8507760899997</v>
      </c>
      <c r="E43" s="209">
        <v>2841.1685602199996</v>
      </c>
      <c r="F43" s="209">
        <v>91.31778412999984</v>
      </c>
      <c r="G43" s="209">
        <v>115.73007214999961</v>
      </c>
      <c r="H43" s="210">
        <v>3.320826894463131</v>
      </c>
      <c r="I43" s="210">
        <v>-0.9219139097766949</v>
      </c>
      <c r="J43" s="210">
        <v>-4.882714810415845</v>
      </c>
      <c r="K43" s="241">
        <v>4.246291840985661</v>
      </c>
      <c r="L43" s="152"/>
    </row>
    <row r="44" spans="1:12" ht="11.25">
      <c r="A44" s="152"/>
      <c r="B44" s="163" t="s">
        <v>81</v>
      </c>
      <c r="C44" s="209">
        <v>21.354</v>
      </c>
      <c r="D44" s="209">
        <v>69.56743192</v>
      </c>
      <c r="E44" s="209">
        <v>83.05983872</v>
      </c>
      <c r="F44" s="209">
        <v>13.492406799999998</v>
      </c>
      <c r="G44" s="209">
        <v>61.70583872</v>
      </c>
      <c r="H44" s="210">
        <v>19.39471736647656</v>
      </c>
      <c r="I44" s="210">
        <v>197.29619166699032</v>
      </c>
      <c r="J44" s="210">
        <v>194.6399217313964</v>
      </c>
      <c r="K44" s="241">
        <v>288.96618301020885</v>
      </c>
      <c r="L44" s="152"/>
    </row>
    <row r="45" spans="1:12" ht="11.25">
      <c r="A45" s="152"/>
      <c r="B45" s="163" t="s">
        <v>150</v>
      </c>
      <c r="C45" s="209">
        <v>506.147</v>
      </c>
      <c r="D45" s="209">
        <v>511.21144855</v>
      </c>
      <c r="E45" s="209">
        <v>583.5316647399999</v>
      </c>
      <c r="F45" s="209">
        <v>72.32021618999988</v>
      </c>
      <c r="G45" s="209">
        <v>77.38466473999989</v>
      </c>
      <c r="H45" s="210">
        <v>14.146830317499523</v>
      </c>
      <c r="I45" s="210">
        <v>25.32491343784875</v>
      </c>
      <c r="J45" s="210">
        <v>9.986197934147455</v>
      </c>
      <c r="K45" s="241">
        <v>15.288970346559383</v>
      </c>
      <c r="L45" s="152"/>
    </row>
    <row r="46" spans="1:12" ht="11.25">
      <c r="A46" s="152"/>
      <c r="B46" s="163" t="s">
        <v>156</v>
      </c>
      <c r="C46" s="209">
        <v>10116.682427599999</v>
      </c>
      <c r="D46" s="209">
        <v>11938.579695820003</v>
      </c>
      <c r="E46" s="209">
        <v>11794.082651709998</v>
      </c>
      <c r="F46" s="209">
        <v>-144.49704411000494</v>
      </c>
      <c r="G46" s="209">
        <v>1677.4002241099988</v>
      </c>
      <c r="H46" s="210">
        <v>-1.2103369730035558</v>
      </c>
      <c r="I46" s="210">
        <v>11.01943352132233</v>
      </c>
      <c r="J46" s="210">
        <v>13.534843195311375</v>
      </c>
      <c r="K46" s="241">
        <v>16.580536515940935</v>
      </c>
      <c r="L46" s="152"/>
    </row>
    <row r="47" spans="1:12" ht="11.25">
      <c r="A47" s="152"/>
      <c r="B47" s="163" t="s">
        <v>51</v>
      </c>
      <c r="C47" s="209">
        <v>20530.84743053</v>
      </c>
      <c r="D47" s="209">
        <v>22226.68595672</v>
      </c>
      <c r="E47" s="209">
        <v>22473.113444630002</v>
      </c>
      <c r="F47" s="209">
        <v>246.42748791000122</v>
      </c>
      <c r="G47" s="209">
        <v>1942.2660141000015</v>
      </c>
      <c r="H47" s="210">
        <v>1.1087009929858505</v>
      </c>
      <c r="I47" s="210">
        <v>10.606332115551442</v>
      </c>
      <c r="J47" s="210">
        <v>9.142037884533494</v>
      </c>
      <c r="K47" s="241">
        <v>9.460233050155509</v>
      </c>
      <c r="L47" s="152"/>
    </row>
    <row r="48" spans="1:12" ht="11.25">
      <c r="A48" s="152"/>
      <c r="B48" s="164" t="s">
        <v>157</v>
      </c>
      <c r="C48" s="207">
        <v>2069.55532186</v>
      </c>
      <c r="D48" s="207">
        <v>2315.6722478299994</v>
      </c>
      <c r="E48" s="207">
        <v>2064.7276027085713</v>
      </c>
      <c r="F48" s="207">
        <v>-250.94464512142804</v>
      </c>
      <c r="G48" s="207">
        <v>-4.827719151428482</v>
      </c>
      <c r="H48" s="208">
        <v>-10.836794600642925</v>
      </c>
      <c r="I48" s="208">
        <v>31.95911577689554</v>
      </c>
      <c r="J48" s="208">
        <v>24.483616990445988</v>
      </c>
      <c r="K48" s="240">
        <v>-0.4677680779621829</v>
      </c>
      <c r="L48" s="152"/>
    </row>
    <row r="49" spans="1:12" ht="11.25">
      <c r="A49" s="152"/>
      <c r="B49" s="165"/>
      <c r="C49" s="207"/>
      <c r="D49" s="207"/>
      <c r="E49" s="207"/>
      <c r="F49" s="207"/>
      <c r="G49" s="209"/>
      <c r="H49" s="210"/>
      <c r="I49" s="210"/>
      <c r="J49" s="210"/>
      <c r="K49" s="241"/>
      <c r="L49" s="152"/>
    </row>
    <row r="50" spans="1:12" ht="11.25">
      <c r="A50" s="152"/>
      <c r="B50" s="162" t="s">
        <v>62</v>
      </c>
      <c r="C50" s="207">
        <v>43391.56892959025</v>
      </c>
      <c r="D50" s="207">
        <v>47119.11171477172</v>
      </c>
      <c r="E50" s="207">
        <v>46763.37829691761</v>
      </c>
      <c r="F50" s="207">
        <v>-355.7334178541132</v>
      </c>
      <c r="G50" s="207">
        <v>3371.8093673273615</v>
      </c>
      <c r="H50" s="208">
        <v>-0.7549663075303512</v>
      </c>
      <c r="I50" s="208">
        <v>10.620400794323071</v>
      </c>
      <c r="J50" s="208">
        <v>8.31602406920049</v>
      </c>
      <c r="K50" s="240">
        <v>7.770655568593665</v>
      </c>
      <c r="L50" s="152"/>
    </row>
    <row r="51" spans="1:12" ht="11.25">
      <c r="A51" s="152"/>
      <c r="B51" s="166" t="s">
        <v>70</v>
      </c>
      <c r="C51" s="207">
        <v>937.8299883159551</v>
      </c>
      <c r="D51" s="207">
        <v>1085.5425299899998</v>
      </c>
      <c r="E51" s="207">
        <v>1118.03169007</v>
      </c>
      <c r="F51" s="207">
        <v>32.48916008000015</v>
      </c>
      <c r="G51" s="207">
        <v>180.20170175404485</v>
      </c>
      <c r="H51" s="208">
        <v>2.9928961033244312</v>
      </c>
      <c r="I51" s="208">
        <v>6.541259476645589</v>
      </c>
      <c r="J51" s="208">
        <v>12.804957518170879</v>
      </c>
      <c r="K51" s="240">
        <v>19.214751500709614</v>
      </c>
      <c r="L51" s="152"/>
    </row>
    <row r="52" spans="1:12" ht="11.25">
      <c r="A52" s="152"/>
      <c r="B52" s="163" t="s">
        <v>57</v>
      </c>
      <c r="C52" s="209">
        <v>265.90558341999997</v>
      </c>
      <c r="D52" s="209">
        <v>303.23520464</v>
      </c>
      <c r="E52" s="209">
        <v>339.00577201</v>
      </c>
      <c r="F52" s="209">
        <v>35.77056736999998</v>
      </c>
      <c r="G52" s="209">
        <v>73.10018859000002</v>
      </c>
      <c r="H52" s="210">
        <v>11.796310857925187</v>
      </c>
      <c r="I52" s="210">
        <v>-19.530507675859752</v>
      </c>
      <c r="J52" s="210">
        <v>3.305309633500264</v>
      </c>
      <c r="K52" s="241">
        <v>27.49103183536303</v>
      </c>
      <c r="L52" s="152"/>
    </row>
    <row r="53" spans="1:12" ht="11.25">
      <c r="A53" s="152"/>
      <c r="B53" s="163" t="s">
        <v>158</v>
      </c>
      <c r="C53" s="209">
        <v>445.012</v>
      </c>
      <c r="D53" s="209">
        <v>571.0579295799998</v>
      </c>
      <c r="E53" s="209">
        <v>575.1112577999999</v>
      </c>
      <c r="F53" s="209">
        <v>4.053328220000026</v>
      </c>
      <c r="G53" s="209">
        <v>130.09925779999986</v>
      </c>
      <c r="H53" s="210">
        <v>0.7097928266193864</v>
      </c>
      <c r="I53" s="210">
        <v>29.336514251511183</v>
      </c>
      <c r="J53" s="210">
        <v>29.153043174807046</v>
      </c>
      <c r="K53" s="241">
        <v>29.234999910114755</v>
      </c>
      <c r="L53" s="152"/>
    </row>
    <row r="54" spans="1:12" ht="11.25">
      <c r="A54" s="152"/>
      <c r="B54" s="163" t="s">
        <v>68</v>
      </c>
      <c r="C54" s="209">
        <v>226.91240489595506</v>
      </c>
      <c r="D54" s="209">
        <v>211.24939577</v>
      </c>
      <c r="E54" s="209">
        <v>203.91466026</v>
      </c>
      <c r="F54" s="209">
        <v>-7.334735510000002</v>
      </c>
      <c r="G54" s="209">
        <v>-22.99774463595506</v>
      </c>
      <c r="H54" s="210">
        <v>-3.4720740777813974</v>
      </c>
      <c r="I54" s="210">
        <v>-4.512079554165382</v>
      </c>
      <c r="J54" s="210">
        <v>-6.786278591290085</v>
      </c>
      <c r="K54" s="241">
        <v>-10.135075976344298</v>
      </c>
      <c r="L54" s="152"/>
    </row>
    <row r="55" spans="1:12" ht="11.25">
      <c r="A55" s="152"/>
      <c r="B55" s="163" t="s">
        <v>71</v>
      </c>
      <c r="C55" s="209">
        <v>0</v>
      </c>
      <c r="D55" s="209">
        <v>0</v>
      </c>
      <c r="E55" s="209">
        <v>0</v>
      </c>
      <c r="F55" s="209">
        <v>0</v>
      </c>
      <c r="G55" s="209">
        <v>0</v>
      </c>
      <c r="H55" s="210">
        <v>0</v>
      </c>
      <c r="I55" s="210">
        <v>0</v>
      </c>
      <c r="J55" s="210">
        <v>0</v>
      </c>
      <c r="K55" s="241">
        <v>0</v>
      </c>
      <c r="L55" s="152"/>
    </row>
    <row r="56" spans="1:12" ht="11.25">
      <c r="A56" s="152"/>
      <c r="B56" s="162" t="s">
        <v>72</v>
      </c>
      <c r="C56" s="207">
        <v>42453.73894127429</v>
      </c>
      <c r="D56" s="207">
        <v>46033.56918478172</v>
      </c>
      <c r="E56" s="207">
        <v>45645.34660684761</v>
      </c>
      <c r="F56" s="207">
        <v>-388.2225779341097</v>
      </c>
      <c r="G56" s="207">
        <v>3191.6076655733195</v>
      </c>
      <c r="H56" s="208">
        <v>-0.8433466811486182</v>
      </c>
      <c r="I56" s="208">
        <v>10.71451742286509</v>
      </c>
      <c r="J56" s="208">
        <v>8.214475797884656</v>
      </c>
      <c r="K56" s="240">
        <v>7.517848239440661</v>
      </c>
      <c r="L56" s="152"/>
    </row>
    <row r="57" spans="1:12" ht="11.25">
      <c r="A57" s="152"/>
      <c r="B57" s="163" t="s">
        <v>73</v>
      </c>
      <c r="C57" s="209">
        <v>26810.381003416573</v>
      </c>
      <c r="D57" s="209">
        <v>28879.051549474643</v>
      </c>
      <c r="E57" s="209">
        <v>28821.746015117016</v>
      </c>
      <c r="F57" s="209">
        <v>-57.30553435762704</v>
      </c>
      <c r="G57" s="209">
        <v>2011.3650117004436</v>
      </c>
      <c r="H57" s="210">
        <v>-0.19843288225533678</v>
      </c>
      <c r="I57" s="210">
        <v>10.489750804305519</v>
      </c>
      <c r="J57" s="210">
        <v>7.580202373989686</v>
      </c>
      <c r="K57" s="241">
        <v>7.5021873484159896</v>
      </c>
      <c r="L57" s="152"/>
    </row>
    <row r="58" spans="1:12" ht="11.25">
      <c r="A58" s="152"/>
      <c r="B58" s="167" t="s">
        <v>74</v>
      </c>
      <c r="C58" s="209">
        <v>16419.66040380657</v>
      </c>
      <c r="D58" s="209">
        <v>18473.209768088887</v>
      </c>
      <c r="E58" s="209">
        <v>18650.648415612482</v>
      </c>
      <c r="F58" s="209">
        <v>177.43864752359514</v>
      </c>
      <c r="G58" s="209">
        <v>2230.988011805912</v>
      </c>
      <c r="H58" s="210">
        <v>0.9605187715136942</v>
      </c>
      <c r="I58" s="210">
        <v>13.72765275670984</v>
      </c>
      <c r="J58" s="210">
        <v>10.504040285333382</v>
      </c>
      <c r="K58" s="241">
        <v>13.587296916863778</v>
      </c>
      <c r="L58" s="152"/>
    </row>
    <row r="59" spans="1:12" ht="11.25">
      <c r="A59" s="152"/>
      <c r="B59" s="167" t="s">
        <v>71</v>
      </c>
      <c r="C59" s="209">
        <v>10390.72059961</v>
      </c>
      <c r="D59" s="209">
        <v>10405.841781385754</v>
      </c>
      <c r="E59" s="209">
        <v>10171.097599504536</v>
      </c>
      <c r="F59" s="209">
        <v>-234.74418188121854</v>
      </c>
      <c r="G59" s="209">
        <v>-219.6230001054646</v>
      </c>
      <c r="H59" s="210">
        <v>-2.255888440482875</v>
      </c>
      <c r="I59" s="210">
        <v>5.0478266754425904</v>
      </c>
      <c r="J59" s="210">
        <v>2.7536445440796253</v>
      </c>
      <c r="K59" s="241">
        <v>-2.1136455166902213</v>
      </c>
      <c r="L59" s="152"/>
    </row>
    <row r="60" spans="1:12" ht="11.25">
      <c r="A60" s="152"/>
      <c r="B60" s="163" t="s">
        <v>159</v>
      </c>
      <c r="C60" s="209">
        <v>1365.33077765</v>
      </c>
      <c r="D60" s="209">
        <v>870.27037852</v>
      </c>
      <c r="E60" s="209">
        <v>875.86389168</v>
      </c>
      <c r="F60" s="209">
        <v>5.593513160000043</v>
      </c>
      <c r="G60" s="209">
        <v>-489.46688597</v>
      </c>
      <c r="H60" s="210">
        <v>0.6427327986863679</v>
      </c>
      <c r="I60" s="210">
        <v>-44.876968179778274</v>
      </c>
      <c r="J60" s="210">
        <v>-49.126299034763974</v>
      </c>
      <c r="K60" s="241">
        <v>-35.84969254208623</v>
      </c>
      <c r="L60" s="152"/>
    </row>
    <row r="61" spans="1:12" ht="11.25">
      <c r="A61" s="152"/>
      <c r="B61" s="163" t="s">
        <v>124</v>
      </c>
      <c r="C61" s="209">
        <v>3.931534494</v>
      </c>
      <c r="D61" s="209">
        <v>3.937073920816438</v>
      </c>
      <c r="E61" s="209">
        <v>3.938109718176986</v>
      </c>
      <c r="F61" s="209">
        <v>0.0010357973605481519</v>
      </c>
      <c r="G61" s="209">
        <v>0.006575224176986083</v>
      </c>
      <c r="H61" s="210">
        <v>0.026308811604262607</v>
      </c>
      <c r="I61" s="210">
        <v>-0.6100243169912423</v>
      </c>
      <c r="J61" s="210">
        <v>0.14089732202253735</v>
      </c>
      <c r="K61" s="241">
        <v>0.1672432020378034</v>
      </c>
      <c r="L61" s="152"/>
    </row>
    <row r="62" spans="1:12" ht="11.25">
      <c r="A62" s="152"/>
      <c r="B62" s="163" t="s">
        <v>125</v>
      </c>
      <c r="C62" s="209">
        <v>5034.74388438</v>
      </c>
      <c r="D62" s="209">
        <v>7179.196412068766</v>
      </c>
      <c r="E62" s="209">
        <v>6905.656889756848</v>
      </c>
      <c r="F62" s="209">
        <v>-273.5395223119185</v>
      </c>
      <c r="G62" s="209">
        <v>1870.9130053768477</v>
      </c>
      <c r="H62" s="210">
        <v>-3.8101690859450246</v>
      </c>
      <c r="I62" s="210">
        <v>29.075481150592374</v>
      </c>
      <c r="J62" s="210">
        <v>38.897157670048884</v>
      </c>
      <c r="K62" s="241">
        <v>37.16004325823299</v>
      </c>
      <c r="L62" s="152"/>
    </row>
    <row r="63" spans="1:12" ht="11.25">
      <c r="A63" s="152"/>
      <c r="B63" s="163" t="s">
        <v>97</v>
      </c>
      <c r="C63" s="209">
        <v>462.8627900294705</v>
      </c>
      <c r="D63" s="209">
        <v>627.5423020953148</v>
      </c>
      <c r="E63" s="209">
        <v>676.6954288550988</v>
      </c>
      <c r="F63" s="209">
        <v>49.15312675978407</v>
      </c>
      <c r="G63" s="209">
        <v>213.83263882562835</v>
      </c>
      <c r="H63" s="210">
        <v>7.832639583923765</v>
      </c>
      <c r="I63" s="210">
        <v>7.768104773780982</v>
      </c>
      <c r="J63" s="210">
        <v>21.748362011761667</v>
      </c>
      <c r="K63" s="241">
        <v>46.197845977641364</v>
      </c>
      <c r="L63" s="152"/>
    </row>
    <row r="64" spans="1:12" ht="11.25">
      <c r="A64" s="152"/>
      <c r="B64" s="163" t="s">
        <v>98</v>
      </c>
      <c r="C64" s="209">
        <v>916.267</v>
      </c>
      <c r="D64" s="209">
        <v>70.48482382</v>
      </c>
      <c r="E64" s="209">
        <v>152.75904777</v>
      </c>
      <c r="F64" s="209">
        <v>82.27422394999999</v>
      </c>
      <c r="G64" s="209">
        <v>-763.50795223</v>
      </c>
      <c r="H64" s="210">
        <v>116.72615393081931</v>
      </c>
      <c r="I64" s="210">
        <v>-52.76389689256378</v>
      </c>
      <c r="J64" s="210">
        <v>-91.9220812434965</v>
      </c>
      <c r="K64" s="241">
        <v>-83.32810766184966</v>
      </c>
      <c r="L64" s="152"/>
    </row>
    <row r="65" spans="1:12" ht="11.25">
      <c r="A65" s="152"/>
      <c r="B65" s="163" t="s">
        <v>68</v>
      </c>
      <c r="C65" s="209">
        <v>6.86151209</v>
      </c>
      <c r="D65" s="209">
        <v>6.45847678</v>
      </c>
      <c r="E65" s="209">
        <v>16.862017289999997</v>
      </c>
      <c r="F65" s="209">
        <v>10.403540509999997</v>
      </c>
      <c r="G65" s="209">
        <v>10.000505199999997</v>
      </c>
      <c r="H65" s="210">
        <v>161.08350102328615</v>
      </c>
      <c r="I65" s="210">
        <v>17.080852383121183</v>
      </c>
      <c r="J65" s="210">
        <v>-5.896042065239671</v>
      </c>
      <c r="K65" s="241">
        <v>145.74783325930127</v>
      </c>
      <c r="L65" s="152"/>
    </row>
    <row r="66" spans="1:12" ht="11.25">
      <c r="A66" s="152"/>
      <c r="B66" s="163" t="s">
        <v>160</v>
      </c>
      <c r="C66" s="209">
        <v>0</v>
      </c>
      <c r="D66" s="209">
        <v>0</v>
      </c>
      <c r="E66" s="209">
        <v>0</v>
      </c>
      <c r="F66" s="209">
        <v>0</v>
      </c>
      <c r="G66" s="209">
        <v>0</v>
      </c>
      <c r="H66" s="210">
        <v>0</v>
      </c>
      <c r="I66" s="210">
        <v>0</v>
      </c>
      <c r="J66" s="210">
        <v>0</v>
      </c>
      <c r="K66" s="241">
        <v>0</v>
      </c>
      <c r="L66" s="152"/>
    </row>
    <row r="67" spans="1:12" ht="11.25">
      <c r="A67" s="152"/>
      <c r="B67" s="163" t="s">
        <v>161</v>
      </c>
      <c r="C67" s="209">
        <v>5236.38871763</v>
      </c>
      <c r="D67" s="209">
        <v>6052.295088741194</v>
      </c>
      <c r="E67" s="209">
        <v>6131.983308746959</v>
      </c>
      <c r="F67" s="209">
        <v>79.68822000576438</v>
      </c>
      <c r="G67" s="209">
        <v>895.5945911169583</v>
      </c>
      <c r="H67" s="210">
        <v>1.3166611812104916</v>
      </c>
      <c r="I67" s="210">
        <v>18.35615129584749</v>
      </c>
      <c r="J67" s="210">
        <v>16.088830077544223</v>
      </c>
      <c r="K67" s="241">
        <v>17.10328700582615</v>
      </c>
      <c r="L67" s="152"/>
    </row>
    <row r="68" spans="1:12" ht="11.25">
      <c r="A68" s="152"/>
      <c r="B68" s="163" t="s">
        <v>99</v>
      </c>
      <c r="C68" s="209">
        <v>2625.4237798100003</v>
      </c>
      <c r="D68" s="209">
        <v>2342.256863478805</v>
      </c>
      <c r="E68" s="209">
        <v>2092.6478899216127</v>
      </c>
      <c r="F68" s="209">
        <v>-249.60897355719226</v>
      </c>
      <c r="G68" s="209">
        <v>-532.7758898883876</v>
      </c>
      <c r="H68" s="210">
        <v>-10.656771998373566</v>
      </c>
      <c r="I68" s="210">
        <v>7.495416702944513</v>
      </c>
      <c r="J68" s="210">
        <v>6.33466999879031</v>
      </c>
      <c r="K68" s="241">
        <v>-20.292948284598232</v>
      </c>
      <c r="L68" s="152"/>
    </row>
    <row r="69" spans="1:12" ht="11.25" customHeight="1" hidden="1">
      <c r="A69" s="152"/>
      <c r="B69" s="163" t="s">
        <v>100</v>
      </c>
      <c r="C69" s="209">
        <v>0.604672507397332</v>
      </c>
      <c r="D69" s="209">
        <v>68.26412364849311</v>
      </c>
      <c r="E69" s="209">
        <v>2.076215882191841</v>
      </c>
      <c r="F69" s="209">
        <v>-66.18790776630127</v>
      </c>
      <c r="G69" s="209">
        <v>-68.26412364849311</v>
      </c>
      <c r="H69" s="210">
        <v>-96.95855484370864</v>
      </c>
      <c r="I69" s="210">
        <v>-914.3860149252195</v>
      </c>
      <c r="J69" s="210">
        <v>2840.6034191052863</v>
      </c>
      <c r="K69" s="241">
        <v>243.36204421272845</v>
      </c>
      <c r="L69" s="152"/>
    </row>
    <row r="70" spans="1:12" ht="12" customHeight="1" hidden="1">
      <c r="A70" s="152"/>
      <c r="B70" s="163" t="s">
        <v>100</v>
      </c>
      <c r="C70" s="198"/>
      <c r="D70" s="198"/>
      <c r="E70" s="198"/>
      <c r="F70" s="198"/>
      <c r="G70" s="198"/>
      <c r="H70" s="198"/>
      <c r="I70" s="198"/>
      <c r="J70" s="198"/>
      <c r="K70" s="242"/>
      <c r="L70" s="152"/>
    </row>
    <row r="71" spans="1:12" ht="12" customHeight="1" hidden="1" thickBot="1">
      <c r="A71" s="152"/>
      <c r="B71" s="168"/>
      <c r="C71" s="199"/>
      <c r="D71" s="199"/>
      <c r="E71" s="199"/>
      <c r="F71" s="199"/>
      <c r="G71" s="199"/>
      <c r="H71" s="199"/>
      <c r="I71" s="199"/>
      <c r="J71" s="199"/>
      <c r="K71" s="243"/>
      <c r="L71" s="152"/>
    </row>
    <row r="72" spans="1:12" ht="12" customHeight="1" hidden="1">
      <c r="A72" s="152"/>
      <c r="B72" s="168"/>
      <c r="C72" s="57"/>
      <c r="D72" s="57"/>
      <c r="E72" s="57"/>
      <c r="F72" s="57"/>
      <c r="G72" s="38"/>
      <c r="H72" s="38"/>
      <c r="I72" s="38"/>
      <c r="J72" s="38"/>
      <c r="K72" s="114"/>
      <c r="L72" s="152"/>
    </row>
    <row r="73" spans="1:12" ht="12" customHeight="1" thickBot="1">
      <c r="A73" s="152"/>
      <c r="B73" s="169"/>
      <c r="C73" s="170"/>
      <c r="D73" s="170"/>
      <c r="E73" s="170"/>
      <c r="F73" s="170"/>
      <c r="G73" s="40"/>
      <c r="H73" s="40"/>
      <c r="I73" s="40"/>
      <c r="J73" s="40"/>
      <c r="K73" s="118"/>
      <c r="L73" s="152"/>
    </row>
    <row r="74" ht="11.25">
      <c r="B74" s="56"/>
    </row>
    <row r="75" spans="2:10" ht="11.25">
      <c r="B75" s="54"/>
      <c r="E75" s="273"/>
      <c r="J75" t="s">
        <v>126</v>
      </c>
    </row>
    <row r="76" ht="12" thickBot="1">
      <c r="B76" s="54"/>
    </row>
    <row r="77" spans="2:12" ht="11.25">
      <c r="B77" s="278" t="s">
        <v>78</v>
      </c>
      <c r="C77" s="279"/>
      <c r="D77" s="279"/>
      <c r="E77" s="279"/>
      <c r="F77" s="279"/>
      <c r="G77" s="279"/>
      <c r="H77" s="279"/>
      <c r="I77" s="279"/>
      <c r="J77" s="279"/>
      <c r="K77" s="280"/>
      <c r="L77" s="152"/>
    </row>
    <row r="78" spans="2:12" ht="12" thickBot="1">
      <c r="B78" s="314" t="s">
        <v>121</v>
      </c>
      <c r="C78" s="315"/>
      <c r="D78" s="315"/>
      <c r="E78" s="315"/>
      <c r="F78" s="315"/>
      <c r="G78" s="315"/>
      <c r="H78" s="315"/>
      <c r="I78" s="315"/>
      <c r="J78" s="315"/>
      <c r="K78" s="316"/>
      <c r="L78" s="152"/>
    </row>
    <row r="79" spans="2:12" ht="11.25">
      <c r="B79" s="154"/>
      <c r="C79" s="153"/>
      <c r="D79" s="43"/>
      <c r="E79" s="153"/>
      <c r="F79" s="281" t="s">
        <v>113</v>
      </c>
      <c r="G79" s="282"/>
      <c r="H79" s="174" t="s">
        <v>134</v>
      </c>
      <c r="I79" s="281" t="s">
        <v>137</v>
      </c>
      <c r="J79" s="298"/>
      <c r="K79" s="299"/>
      <c r="L79" s="152"/>
    </row>
    <row r="80" spans="2:11" ht="11.25">
      <c r="B80" s="155"/>
      <c r="C80" s="12">
        <f>C33</f>
        <v>39596</v>
      </c>
      <c r="D80" s="108">
        <f>D33</f>
        <v>39931</v>
      </c>
      <c r="E80" s="12">
        <f>E33</f>
        <v>39961</v>
      </c>
      <c r="F80" s="12" t="s">
        <v>116</v>
      </c>
      <c r="G80" s="99" t="s">
        <v>115</v>
      </c>
      <c r="H80" s="99" t="s">
        <v>138</v>
      </c>
      <c r="I80" s="12">
        <f>I33</f>
        <v>39873</v>
      </c>
      <c r="J80" s="12">
        <f>J33</f>
        <v>39904</v>
      </c>
      <c r="K80" s="223">
        <f>K33</f>
        <v>39934</v>
      </c>
    </row>
    <row r="81" spans="2:14" ht="11.25">
      <c r="B81" s="113" t="s">
        <v>56</v>
      </c>
      <c r="C81" s="211">
        <v>44099.41324393881</v>
      </c>
      <c r="D81" s="211">
        <v>50220.48576394562</v>
      </c>
      <c r="E81" s="211">
        <v>50220.48576394562</v>
      </c>
      <c r="F81" s="211">
        <v>0</v>
      </c>
      <c r="G81" s="211">
        <v>6121.072520006805</v>
      </c>
      <c r="H81" s="212">
        <v>0</v>
      </c>
      <c r="I81" s="212">
        <v>13.793675894580982</v>
      </c>
      <c r="J81" s="212">
        <v>13.725808316338206</v>
      </c>
      <c r="K81" s="244">
        <v>12.604749809185956</v>
      </c>
      <c r="L81" s="55"/>
      <c r="M81" s="55"/>
      <c r="N81" s="55"/>
    </row>
    <row r="82" spans="2:14" ht="11.25">
      <c r="B82" s="113" t="s">
        <v>1</v>
      </c>
      <c r="C82" s="211">
        <v>11964.647496488291</v>
      </c>
      <c r="D82" s="211">
        <v>15925.43598024093</v>
      </c>
      <c r="E82" s="211">
        <v>15925.43598024093</v>
      </c>
      <c r="F82" s="211">
        <v>0</v>
      </c>
      <c r="G82" s="211">
        <v>3960.78848375264</v>
      </c>
      <c r="H82" s="212">
        <v>0</v>
      </c>
      <c r="I82" s="212">
        <v>42.26934477151363</v>
      </c>
      <c r="J82" s="212">
        <v>28.09803243734521</v>
      </c>
      <c r="K82" s="244">
        <v>29.44212143624356</v>
      </c>
      <c r="L82" s="55"/>
      <c r="M82" s="55"/>
      <c r="N82" s="55"/>
    </row>
    <row r="83" spans="2:11" ht="11.25">
      <c r="B83" s="113" t="s">
        <v>75</v>
      </c>
      <c r="C83" s="211">
        <v>29846.954099510527</v>
      </c>
      <c r="D83" s="211">
        <v>31756.402115224686</v>
      </c>
      <c r="E83" s="211">
        <v>31756.402115224686</v>
      </c>
      <c r="F83" s="211">
        <v>0</v>
      </c>
      <c r="G83" s="211">
        <v>1909.4480157141588</v>
      </c>
      <c r="H83" s="212">
        <v>0</v>
      </c>
      <c r="I83" s="212">
        <v>3.076906407488589</v>
      </c>
      <c r="J83" s="212">
        <v>7.15326454045504</v>
      </c>
      <c r="K83" s="244">
        <v>6.781527753371552</v>
      </c>
    </row>
    <row r="84" spans="2:11" ht="11.25">
      <c r="B84" s="115" t="s">
        <v>162</v>
      </c>
      <c r="C84" s="213">
        <v>-4076.12004156947</v>
      </c>
      <c r="D84" s="213">
        <v>-5767.501383025315</v>
      </c>
      <c r="E84" s="213">
        <v>-5767.501383025315</v>
      </c>
      <c r="F84" s="213">
        <v>0</v>
      </c>
      <c r="G84" s="213">
        <v>-1691.381341455845</v>
      </c>
      <c r="H84" s="214">
        <v>0</v>
      </c>
      <c r="I84" s="214">
        <v>81.17500008400755</v>
      </c>
      <c r="J84" s="214">
        <v>24.150272118218076</v>
      </c>
      <c r="K84" s="245">
        <v>45.528853747424655</v>
      </c>
    </row>
    <row r="85" spans="2:11" ht="11.25">
      <c r="B85" s="115" t="s">
        <v>163</v>
      </c>
      <c r="C85" s="213">
        <v>33923.07414108</v>
      </c>
      <c r="D85" s="213">
        <v>37523.90349825</v>
      </c>
      <c r="E85" s="213">
        <v>37523.90349825</v>
      </c>
      <c r="F85" s="213">
        <v>0</v>
      </c>
      <c r="G85" s="213">
        <v>3600.829357170005</v>
      </c>
      <c r="H85" s="214">
        <v>0</v>
      </c>
      <c r="I85" s="214">
        <v>10.13849466841965</v>
      </c>
      <c r="J85" s="214">
        <v>9.456541757672454</v>
      </c>
      <c r="K85" s="245">
        <v>11.437319011697555</v>
      </c>
    </row>
    <row r="86" spans="2:11" ht="11.25">
      <c r="B86" s="251" t="s">
        <v>50</v>
      </c>
      <c r="C86" s="213">
        <v>2725.4384880699995</v>
      </c>
      <c r="D86" s="213">
        <v>2749.8507760899997</v>
      </c>
      <c r="E86" s="213">
        <v>2749.8507760899997</v>
      </c>
      <c r="F86" s="213">
        <v>0</v>
      </c>
      <c r="G86" s="213">
        <v>24.412288020000233</v>
      </c>
      <c r="H86" s="214">
        <v>0</v>
      </c>
      <c r="I86" s="214">
        <v>-0.9219139097766949</v>
      </c>
      <c r="J86" s="214">
        <v>-4.882714810415845</v>
      </c>
      <c r="K86" s="245">
        <v>4.246291840985683</v>
      </c>
    </row>
    <row r="87" spans="2:11" ht="11.25">
      <c r="B87" s="251" t="s">
        <v>147</v>
      </c>
      <c r="C87" s="213">
        <v>21.354</v>
      </c>
      <c r="D87" s="213">
        <v>69.56743192</v>
      </c>
      <c r="E87" s="213">
        <v>69.56743192</v>
      </c>
      <c r="F87" s="213">
        <v>0</v>
      </c>
      <c r="G87" s="213">
        <v>48.213431920000005</v>
      </c>
      <c r="H87" s="214">
        <v>0</v>
      </c>
      <c r="I87" s="214">
        <v>197.29619166699032</v>
      </c>
      <c r="J87" s="214">
        <v>194.6399217313964</v>
      </c>
      <c r="K87" s="245">
        <v>288.96618301020885</v>
      </c>
    </row>
    <row r="88" spans="2:11" ht="11.25">
      <c r="B88" s="251" t="s">
        <v>150</v>
      </c>
      <c r="C88" s="213">
        <v>506.147</v>
      </c>
      <c r="D88" s="213">
        <v>511.21144855</v>
      </c>
      <c r="E88" s="213">
        <v>511.21144855</v>
      </c>
      <c r="F88" s="213">
        <v>0</v>
      </c>
      <c r="G88" s="213">
        <v>5.064448550000009</v>
      </c>
      <c r="H88" s="214">
        <v>0</v>
      </c>
      <c r="I88" s="214">
        <v>25.32491343784875</v>
      </c>
      <c r="J88" s="214">
        <v>9.986197934147455</v>
      </c>
      <c r="K88" s="245">
        <v>15.288970346559383</v>
      </c>
    </row>
    <row r="89" spans="2:11" ht="11.25">
      <c r="B89" s="251" t="s">
        <v>133</v>
      </c>
      <c r="C89" s="213">
        <v>10116.682427599999</v>
      </c>
      <c r="D89" s="213">
        <v>11938.579695820003</v>
      </c>
      <c r="E89" s="213">
        <v>11938.579695820003</v>
      </c>
      <c r="F89" s="213">
        <v>0</v>
      </c>
      <c r="G89" s="213">
        <v>1821.8972682200038</v>
      </c>
      <c r="H89" s="214">
        <v>0</v>
      </c>
      <c r="I89" s="214">
        <v>11.01943352132233</v>
      </c>
      <c r="J89" s="214">
        <v>13.534843195311375</v>
      </c>
      <c r="K89" s="245">
        <v>16.580536515940935</v>
      </c>
    </row>
    <row r="90" spans="2:11" ht="11.25">
      <c r="B90" s="251" t="s">
        <v>51</v>
      </c>
      <c r="C90" s="213">
        <v>20553.45222541</v>
      </c>
      <c r="D90" s="213">
        <v>22249.84114587</v>
      </c>
      <c r="E90" s="213">
        <v>22249.84114587</v>
      </c>
      <c r="F90" s="213">
        <v>0</v>
      </c>
      <c r="G90" s="213">
        <v>1696.3889204599982</v>
      </c>
      <c r="H90" s="214">
        <v>0</v>
      </c>
      <c r="I90" s="214">
        <v>10.604396506548719</v>
      </c>
      <c r="J90" s="214">
        <v>9.13606456320668</v>
      </c>
      <c r="K90" s="245">
        <v>9.452506503837421</v>
      </c>
    </row>
    <row r="91" spans="2:11" ht="11.25">
      <c r="B91" s="251" t="s">
        <v>145</v>
      </c>
      <c r="C91" s="213">
        <v>0</v>
      </c>
      <c r="D91" s="213">
        <v>4.853</v>
      </c>
      <c r="E91" s="213">
        <v>4.853</v>
      </c>
      <c r="F91" s="213">
        <v>0</v>
      </c>
      <c r="G91" s="213">
        <v>4.853</v>
      </c>
      <c r="H91" s="214">
        <v>0</v>
      </c>
      <c r="I91" s="214">
        <v>0</v>
      </c>
      <c r="J91" s="214">
        <v>0</v>
      </c>
      <c r="K91" s="245">
        <v>0</v>
      </c>
    </row>
    <row r="92" spans="2:14" ht="11.25">
      <c r="B92" s="112" t="s">
        <v>157</v>
      </c>
      <c r="C92" s="213">
        <v>2287.81164794</v>
      </c>
      <c r="D92" s="213">
        <v>2538.6476684799995</v>
      </c>
      <c r="E92" s="213">
        <v>2538.6476684799995</v>
      </c>
      <c r="F92" s="213">
        <v>0</v>
      </c>
      <c r="G92" s="213">
        <v>250.83602053999948</v>
      </c>
      <c r="H92" s="214">
        <v>0</v>
      </c>
      <c r="I92" s="214">
        <v>25.29903359829784</v>
      </c>
      <c r="J92" s="214">
        <v>21.430724176837067</v>
      </c>
      <c r="K92" s="245">
        <v>0.5199372771478972</v>
      </c>
      <c r="L92" s="55"/>
      <c r="M92" s="55"/>
      <c r="N92" s="55"/>
    </row>
    <row r="93" spans="2:11" ht="11.25">
      <c r="B93" s="112"/>
      <c r="C93" s="213"/>
      <c r="D93" s="213"/>
      <c r="E93" s="213"/>
      <c r="F93" s="211"/>
      <c r="G93" s="211"/>
      <c r="H93" s="212"/>
      <c r="I93" s="212"/>
      <c r="J93" s="212"/>
      <c r="K93" s="244"/>
    </row>
    <row r="94" spans="2:14" ht="11.25">
      <c r="B94" s="113" t="s">
        <v>62</v>
      </c>
      <c r="C94" s="211">
        <v>44099.44126136482</v>
      </c>
      <c r="D94" s="211">
        <v>50220.51001964941</v>
      </c>
      <c r="E94" s="211">
        <v>50220.51001964941</v>
      </c>
      <c r="F94" s="211">
        <v>0</v>
      </c>
      <c r="G94" s="211">
        <v>6121.068758284593</v>
      </c>
      <c r="H94" s="212">
        <v>0</v>
      </c>
      <c r="I94" s="212">
        <v>13.793724806161634</v>
      </c>
      <c r="J94" s="212">
        <v>13.725976617207003</v>
      </c>
      <c r="K94" s="244">
        <v>12.60472726534061</v>
      </c>
      <c r="L94" s="55"/>
      <c r="M94" s="55"/>
      <c r="N94" s="55"/>
    </row>
    <row r="95" spans="2:11" ht="11.25">
      <c r="B95" s="113" t="s">
        <v>76</v>
      </c>
      <c r="C95" s="211">
        <v>27774.43531057057</v>
      </c>
      <c r="D95" s="211">
        <v>30099.91782630448</v>
      </c>
      <c r="E95" s="211">
        <v>30099.91782630448</v>
      </c>
      <c r="F95" s="211">
        <v>0</v>
      </c>
      <c r="G95" s="211">
        <v>2325.482515733911</v>
      </c>
      <c r="H95" s="212">
        <v>0</v>
      </c>
      <c r="I95" s="212">
        <v>11.236037337795368</v>
      </c>
      <c r="J95" s="212">
        <v>8.327116607669316</v>
      </c>
      <c r="K95" s="244">
        <v>8.206202920286444</v>
      </c>
    </row>
    <row r="96" spans="2:11" ht="11.25">
      <c r="B96" s="115" t="s">
        <v>164</v>
      </c>
      <c r="C96" s="213">
        <v>959.98261837</v>
      </c>
      <c r="D96" s="213">
        <v>1216.9292029090243</v>
      </c>
      <c r="E96" s="213">
        <v>1216.9292029090243</v>
      </c>
      <c r="F96" s="213">
        <v>0</v>
      </c>
      <c r="G96" s="213">
        <v>256.94658453902434</v>
      </c>
      <c r="H96" s="214">
        <v>0</v>
      </c>
      <c r="I96" s="214">
        <v>32.28798578531735</v>
      </c>
      <c r="J96" s="214">
        <v>29.759339256368044</v>
      </c>
      <c r="K96" s="245">
        <v>27.916660550534232</v>
      </c>
    </row>
    <row r="97" spans="2:11" ht="11.25">
      <c r="B97" s="115" t="s">
        <v>165</v>
      </c>
      <c r="C97" s="213">
        <v>16419.80055809657</v>
      </c>
      <c r="D97" s="213">
        <v>18473.209768088887</v>
      </c>
      <c r="E97" s="213">
        <v>18473.209768088887</v>
      </c>
      <c r="F97" s="213">
        <v>0</v>
      </c>
      <c r="G97" s="213">
        <v>2053.409209992318</v>
      </c>
      <c r="H97" s="214">
        <v>0</v>
      </c>
      <c r="I97" s="214">
        <v>13.726533699892695</v>
      </c>
      <c r="J97" s="214">
        <v>10.5029787860488</v>
      </c>
      <c r="K97" s="245">
        <v>13.586327371168272</v>
      </c>
    </row>
    <row r="98" spans="2:13" ht="11.25">
      <c r="B98" s="115" t="s">
        <v>166</v>
      </c>
      <c r="C98" s="213">
        <v>10390.72059961</v>
      </c>
      <c r="D98" s="213">
        <v>10405.841781385754</v>
      </c>
      <c r="E98" s="213">
        <v>10405.841781385754</v>
      </c>
      <c r="F98" s="213">
        <v>0</v>
      </c>
      <c r="G98" s="213">
        <v>15.12118177575394</v>
      </c>
      <c r="H98" s="214">
        <v>0</v>
      </c>
      <c r="I98" s="214">
        <v>5.0478266754425904</v>
      </c>
      <c r="J98" s="214">
        <v>2.7536445440796253</v>
      </c>
      <c r="K98" s="245">
        <v>-2.1136455166902213</v>
      </c>
      <c r="L98" s="55"/>
      <c r="M98" s="55"/>
    </row>
    <row r="99" spans="2:11" ht="11.25">
      <c r="B99" s="115" t="s">
        <v>109</v>
      </c>
      <c r="C99" s="213">
        <v>3.931534494</v>
      </c>
      <c r="D99" s="213">
        <v>3.937073920816438</v>
      </c>
      <c r="E99" s="213">
        <v>3.937073920816438</v>
      </c>
      <c r="F99" s="213">
        <v>0</v>
      </c>
      <c r="G99" s="213">
        <v>0.005539426816437931</v>
      </c>
      <c r="H99" s="214">
        <v>0</v>
      </c>
      <c r="I99" s="214">
        <v>-0.6100243169912423</v>
      </c>
      <c r="J99" s="214">
        <v>0.14089732202253735</v>
      </c>
      <c r="K99" s="245">
        <v>0.1672432020378034</v>
      </c>
    </row>
    <row r="100" spans="2:14" ht="11.25">
      <c r="B100" s="112" t="s">
        <v>167</v>
      </c>
      <c r="C100" s="213">
        <v>16328.937485288245</v>
      </c>
      <c r="D100" s="213">
        <v>20124.529267265745</v>
      </c>
      <c r="E100" s="213">
        <v>20124.529267265745</v>
      </c>
      <c r="F100" s="213">
        <v>0</v>
      </c>
      <c r="G100" s="213">
        <v>3795.5917819775004</v>
      </c>
      <c r="H100" s="214">
        <v>0</v>
      </c>
      <c r="I100" s="214">
        <v>17.973176111621413</v>
      </c>
      <c r="J100" s="214">
        <v>22.8827104987273</v>
      </c>
      <c r="K100" s="245">
        <v>20.083329691008945</v>
      </c>
      <c r="N100" s="55"/>
    </row>
    <row r="101" spans="2:11" ht="12" thickBot="1">
      <c r="B101" s="171"/>
      <c r="C101" s="220"/>
      <c r="D101" s="220"/>
      <c r="E101" s="220"/>
      <c r="F101" s="221"/>
      <c r="G101" s="221"/>
      <c r="H101" s="222"/>
      <c r="I101" s="222"/>
      <c r="J101" s="222"/>
      <c r="K101" s="246"/>
    </row>
    <row r="102" spans="2:13" ht="12" customHeight="1" hidden="1" thickBot="1">
      <c r="B102" s="39" t="s">
        <v>77</v>
      </c>
      <c r="C102" s="215">
        <v>-0.02241342821798753</v>
      </c>
      <c r="D102" s="215">
        <v>-0.04190398721402744</v>
      </c>
      <c r="E102" s="215">
        <v>-0.017016961370245554</v>
      </c>
      <c r="F102" s="215">
        <v>0.024887025843781885</v>
      </c>
      <c r="G102" s="215">
        <v>0.005396466847741976</v>
      </c>
      <c r="H102" s="215">
        <v>6.314336995538739E-05</v>
      </c>
      <c r="I102" s="215">
        <v>-0.00017943695699784712</v>
      </c>
      <c r="J102" s="215">
        <v>-0.00017625866459880513</v>
      </c>
      <c r="K102" s="215">
        <v>2.6387598804689105E-05</v>
      </c>
      <c r="L102" s="55"/>
      <c r="M102" s="55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I79:K79"/>
    <mergeCell ref="F32:G32"/>
    <mergeCell ref="F79:G79"/>
    <mergeCell ref="B2:K2"/>
    <mergeCell ref="B3:K3"/>
    <mergeCell ref="B77:K77"/>
    <mergeCell ref="B78:K78"/>
    <mergeCell ref="B30:K30"/>
    <mergeCell ref="B31:K31"/>
    <mergeCell ref="F4:G4"/>
    <mergeCell ref="I4:K4"/>
    <mergeCell ref="I32:K32"/>
  </mergeCells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nak478</cp:lastModifiedBy>
  <cp:lastPrinted>2009-08-05T09:50:03Z</cp:lastPrinted>
  <dcterms:created xsi:type="dcterms:W3CDTF">1999-07-02T10:21:54Z</dcterms:created>
  <dcterms:modified xsi:type="dcterms:W3CDTF">2009-08-05T09:53:56Z</dcterms:modified>
  <cp:category/>
  <cp:version/>
  <cp:contentType/>
  <cp:contentStatus/>
</cp:coreProperties>
</file>