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2385" windowWidth="9585" windowHeight="5730" tabRatio="616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'S2'!$A$1:$L$47</definedName>
    <definedName name="_xlnm.Print_Area" localSheetId="3">'S3'!$A$1:$C$82</definedName>
    <definedName name="_xlnm.Print_Area" localSheetId="4">'S4'!$A$1:$K$75</definedName>
    <definedName name="_xlnm.Print_Area" localSheetId="5">'S5'!$B$2:$Q$21</definedName>
    <definedName name="_xlnm.Print_Area" localSheetId="6">'S6'!$A$1:$O$75</definedName>
    <definedName name="_xlnm.Print_Area" localSheetId="7">'S7'!$B$77:$I$101</definedName>
    <definedName name="Z_1119964D_FB32_11D4_9C51_0090277BCB1A_.wvu.Cols" localSheetId="5" hidden="1">'S5'!$B:$B</definedName>
    <definedName name="Z_1119964D_FB32_11D4_9C51_0090277BCB1A_.wvu.PrintArea" localSheetId="2" hidden="1">'S2'!$A$1:$L$48</definedName>
    <definedName name="Z_1119964D_FB32_11D4_9C51_0090277BCB1A_.wvu.PrintArea" localSheetId="3" hidden="1">'S3'!$A$2:$A$82</definedName>
    <definedName name="Z_1119964D_FB32_11D4_9C51_0090277BCB1A_.wvu.PrintArea" localSheetId="4" hidden="1">'S4'!$A$1:$K$75</definedName>
    <definedName name="Z_1119964D_FB32_11D4_9C51_0090277BCB1A_.wvu.PrintArea" localSheetId="5" hidden="1">'S5'!$B$2:$B$21</definedName>
    <definedName name="Z_1119964D_FB32_11D4_9C51_0090277BCB1A_.wvu.PrintArea" localSheetId="6" hidden="1">'S6'!$A$1:$J$64</definedName>
    <definedName name="Z_4BE07961_847F_11D4_A83A_00D0B7747A8F_.wvu.PrintArea" localSheetId="2" hidden="1">'S2'!$A$1:$L$48</definedName>
    <definedName name="Z_4BE07961_847F_11D4_A83A_00D0B7747A8F_.wvu.PrintArea" localSheetId="3" hidden="1">'S3'!$A$2:$A$82</definedName>
    <definedName name="Z_4BE07961_847F_11D4_A83A_00D0B7747A8F_.wvu.PrintArea" localSheetId="4" hidden="1">'S4'!$A$1:$K$75</definedName>
    <definedName name="Z_4BE07961_847F_11D4_A83A_00D0B7747A8F_.wvu.PrintArea" localSheetId="6" hidden="1">'S6'!$A$1:$J$64</definedName>
    <definedName name="Z_5050E6E2_8401_11D4_81A4_00608C91AED9_.wvu.Cols" localSheetId="5" hidden="1">'S5'!$B:$B</definedName>
    <definedName name="Z_5050E6E2_8401_11D4_81A4_00608C91AED9_.wvu.PrintArea" localSheetId="2" hidden="1">'S2'!$A$1:$L$48</definedName>
    <definedName name="Z_5050E6E2_8401_11D4_81A4_00608C91AED9_.wvu.PrintArea" localSheetId="3" hidden="1">'S3'!$A$2:$A$82</definedName>
    <definedName name="Z_5050E6E2_8401_11D4_81A4_00608C91AED9_.wvu.PrintArea" localSheetId="4" hidden="1">'S4'!$A$1:$K$75</definedName>
    <definedName name="Z_5050E6E2_8401_11D4_81A4_00608C91AED9_.wvu.PrintArea" localSheetId="5" hidden="1">'S5'!$B$2:$B$22</definedName>
    <definedName name="Z_5050E6E2_8401_11D4_81A4_00608C91AED9_.wvu.PrintArea" localSheetId="6" hidden="1">'S6'!$A$1:$I$64</definedName>
  </definedNames>
  <calcPr fullCalcOnLoad="1"/>
</workbook>
</file>

<file path=xl/sharedStrings.xml><?xml version="1.0" encoding="utf-8"?>
<sst xmlns="http://schemas.openxmlformats.org/spreadsheetml/2006/main" count="243" uniqueCount="170">
  <si>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</si>
  <si>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</si>
  <si>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</si>
  <si>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</si>
  <si>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</si>
  <si>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</si>
  <si>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</si>
  <si>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</si>
  <si>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</si>
  <si>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</si>
  <si>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</si>
  <si>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</si>
  <si>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</si>
  <si>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</si>
  <si>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</si>
  <si>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</si>
  <si>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</si>
  <si>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</si>
  <si>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</si>
  <si>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</si>
  <si>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</si>
  <si>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</si>
  <si>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</si>
  <si>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</si>
  <si>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</si>
  <si>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</si>
  <si>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</si>
  <si>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</si>
  <si>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</si>
  <si>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</si>
  <si>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</si>
  <si>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</si>
  <si>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</si>
  <si>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</si>
  <si>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</si>
  <si>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</si>
  <si>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</si>
  <si>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</si>
  <si>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</si>
  <si>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</si>
  <si>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</si>
  <si>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</si>
  <si>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</si>
  <si>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</si>
  <si>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</si>
  <si>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</si>
  <si>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</si>
  <si>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</si>
  <si>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</si>
  <si>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</si>
  <si>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</si>
  <si>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</si>
  <si>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</si>
  <si>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</si>
  <si>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</si>
  <si>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</si>
  <si>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</si>
  <si>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</si>
  <si>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</si>
  <si>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</si>
  <si>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</si>
  <si>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</si>
  <si>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</si>
  <si>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</si>
  <si>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</si>
  <si>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</si>
  <si>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</si>
  <si>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</si>
  <si>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</si>
  <si>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</si>
  <si>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Other Depository Corporations (N$ Million)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</si>
  <si>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</si>
  <si>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</si>
  <si>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</si>
  <si>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</si>
  <si>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</si>
  <si>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</si>
  <si>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</si>
  <si>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</si>
  <si>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</si>
  <si>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</si>
  <si>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Shares and Equity</t>
  </si>
  <si>
    <t>Domestic Claims</t>
  </si>
  <si>
    <t>Claims on other Sectors</t>
  </si>
  <si>
    <t>Broad Money Supply</t>
  </si>
  <si>
    <t>Transferable Deposits</t>
  </si>
  <si>
    <t>Other Deposits</t>
  </si>
  <si>
    <t>Other Liabilities</t>
  </si>
  <si>
    <t>Check</t>
  </si>
  <si>
    <t>Other resident sectors/Individuals</t>
  </si>
  <si>
    <t>Depository Corporations Survey (N$ Million)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</si>
  <si>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</si>
  <si>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</si>
  <si>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</si>
  <si>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</si>
  <si>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</si>
  <si>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</si>
  <si>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</si>
  <si>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</si>
  <si>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>Central Bank (N$ Million)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</si>
  <si>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</si>
  <si>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</si>
  <si>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</si>
  <si>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</si>
  <si>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</si>
  <si>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</si>
  <si>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Public nonfinancial corporations</t>
  </si>
  <si>
    <t>Consumer Price Inflation [Percentage Change]*</t>
  </si>
  <si>
    <t>Primary auction</t>
  </si>
  <si>
    <t xml:space="preserve">         Foreign exchange reserves (NAD millions)</t>
  </si>
  <si>
    <t>Determinants of Money Supply (N$ Million)</t>
  </si>
  <si>
    <t>Components of Money Supply (N$ Million)</t>
  </si>
  <si>
    <t>Claims on the *Other Sectors  by the Other Depository Corporations (N$ Million)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</si>
  <si>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</si>
  <si>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</si>
  <si>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</si>
  <si>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</si>
  <si>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</si>
  <si>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</si>
  <si>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</si>
  <si>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</si>
  <si>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</si>
  <si>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</si>
  <si>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</si>
  <si>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</si>
  <si>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Securities other than shars</t>
  </si>
  <si>
    <t>Securities othen than shares included in M2</t>
  </si>
  <si>
    <t>Securities othen than shares excluded from M2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</si>
  <si>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</si>
  <si>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</si>
  <si>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</si>
  <si>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</si>
  <si>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</si>
  <si>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</si>
  <si>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</si>
  <si>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</si>
  <si>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</si>
  <si>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</si>
  <si>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</si>
  <si>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</si>
  <si>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</si>
  <si>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</si>
  <si>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</si>
  <si>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</si>
  <si>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>** Average Lending Rate includes both Interbank and intragroup rates</t>
  </si>
  <si>
    <t xml:space="preserve">       International Reserves** and Exchange rates</t>
  </si>
  <si>
    <t xml:space="preserve">     </t>
  </si>
  <si>
    <t>**International Reserves of the Bank of Namibia</t>
  </si>
  <si>
    <t xml:space="preserve">   Source: NSX</t>
  </si>
  <si>
    <t xml:space="preserve">   Source: BON</t>
  </si>
  <si>
    <t>Source: CBS &amp; STATSSA</t>
  </si>
  <si>
    <t xml:space="preserve"> Other Sector Claims = Private Sector Credit</t>
  </si>
  <si>
    <t>Securities other than shares (included in Broad Money)</t>
  </si>
  <si>
    <t>Currency Outside Depository Corporations</t>
  </si>
  <si>
    <t xml:space="preserve">Deposits excluded from M2 </t>
  </si>
  <si>
    <t>*  The consumer price inflation is based on the NCPI (nation wide CPI)</t>
  </si>
  <si>
    <t xml:space="preserve">                           U.S Dollar/Namibia Dollar exchange rate</t>
  </si>
  <si>
    <t>Domestic claims and other sector claims (month-on-month percentage changes)</t>
  </si>
  <si>
    <t xml:space="preserve">  Selected interest rates</t>
  </si>
  <si>
    <t xml:space="preserve">                  NSX indices</t>
  </si>
  <si>
    <t>Namibia's inflation vs South Africa's CPIX</t>
  </si>
  <si>
    <t xml:space="preserve">                          Foreign exchange reserves</t>
  </si>
  <si>
    <t xml:space="preserve">    Money Supply (month-on-month  percentage changes)</t>
  </si>
  <si>
    <t xml:space="preserve">Change over </t>
  </si>
  <si>
    <t>Change in N$ mill</t>
  </si>
  <si>
    <t xml:space="preserve">   **International reserves</t>
  </si>
  <si>
    <t xml:space="preserve">Percentage Change </t>
  </si>
  <si>
    <t>One year</t>
  </si>
  <si>
    <t xml:space="preserve">  Percentage Change</t>
  </si>
  <si>
    <t>One month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</si>
</sst>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109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sz val="12"/>
      <color indexed="61"/>
      <name val="Univers"/>
      <family val="0"/>
    </font>
    <font>
      <sz val="8"/>
      <color indexed="16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b/>
      <sz val="8"/>
      <color indexed="3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7.5"/>
      <color indexed="8"/>
      <name val="Arial"/>
      <family val="0"/>
    </font>
    <font>
      <sz val="11"/>
      <color indexed="16"/>
      <name val="Arial"/>
      <family val="0"/>
    </font>
    <font>
      <sz val="7.35"/>
      <color indexed="16"/>
      <name val="Arial"/>
      <family val="0"/>
    </font>
    <font>
      <sz val="19"/>
      <color indexed="8"/>
      <name val="Arial"/>
      <family val="0"/>
    </font>
    <font>
      <sz val="12.5"/>
      <color indexed="16"/>
      <name val="Arial"/>
      <family val="0"/>
    </font>
    <font>
      <sz val="8.75"/>
      <color indexed="16"/>
      <name val="Arial"/>
      <family val="0"/>
    </font>
    <font>
      <sz val="8.95"/>
      <color indexed="16"/>
      <name val="Arial"/>
      <family val="0"/>
    </font>
    <font>
      <sz val="8.5"/>
      <color indexed="8"/>
      <name val="Arial"/>
      <family val="0"/>
    </font>
    <font>
      <sz val="15.75"/>
      <color indexed="16"/>
      <name val="Arial"/>
      <family val="0"/>
    </font>
    <font>
      <b/>
      <sz val="8.5"/>
      <color indexed="16"/>
      <name val="Arial"/>
      <family val="0"/>
    </font>
    <font>
      <b/>
      <sz val="10.5"/>
      <color indexed="16"/>
      <name val="Arial"/>
      <family val="0"/>
    </font>
    <font>
      <sz val="9.2"/>
      <color indexed="16"/>
      <name val="Arial"/>
      <family val="0"/>
    </font>
    <font>
      <sz val="12"/>
      <color indexed="25"/>
      <name val="Arial"/>
      <family val="0"/>
    </font>
    <font>
      <sz val="9.5"/>
      <color indexed="25"/>
      <name val="Arial"/>
      <family val="0"/>
    </font>
    <font>
      <sz val="11"/>
      <color indexed="25"/>
      <name val="Arial"/>
      <family val="0"/>
    </font>
    <font>
      <sz val="11"/>
      <color indexed="8"/>
      <name val="Arial"/>
      <family val="0"/>
    </font>
    <font>
      <b/>
      <sz val="8"/>
      <color indexed="16"/>
      <name val="Arial"/>
      <family val="0"/>
    </font>
    <font>
      <b/>
      <sz val="11"/>
      <color indexed="16"/>
      <name val="Arial"/>
      <family val="0"/>
    </font>
    <font>
      <sz val="10.8"/>
      <color indexed="16"/>
      <name val="Arial"/>
      <family val="0"/>
    </font>
    <font>
      <sz val="8"/>
      <color indexed="25"/>
      <name val="Arial"/>
      <family val="0"/>
    </font>
    <font>
      <sz val="10.75"/>
      <color indexed="16"/>
      <name val="Arial"/>
      <family val="0"/>
    </font>
    <font>
      <sz val="9.75"/>
      <color indexed="16"/>
      <name val="Arial"/>
      <family val="0"/>
    </font>
    <font>
      <sz val="21.25"/>
      <color indexed="8"/>
      <name val="Arial"/>
      <family val="0"/>
    </font>
    <font>
      <sz val="14.25"/>
      <color indexed="16"/>
      <name val="Arial"/>
      <family val="0"/>
    </font>
    <font>
      <sz val="10.5"/>
      <color indexed="16"/>
      <name val="Arial"/>
      <family val="0"/>
    </font>
    <font>
      <sz val="12.25"/>
      <color indexed="1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04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185" fontId="4" fillId="35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3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85" fontId="4" fillId="35" borderId="17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85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85" fontId="26" fillId="35" borderId="18" xfId="0" applyNumberFormat="1" applyFont="1" applyFill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178" fontId="26" fillId="35" borderId="0" xfId="0" applyNumberFormat="1" applyFont="1" applyFill="1" applyBorder="1" applyAlignment="1">
      <alignment/>
    </xf>
    <xf numFmtId="185" fontId="27" fillId="35" borderId="0" xfId="0" applyNumberFormat="1" applyFont="1" applyFill="1" applyBorder="1" applyAlignment="1">
      <alignment horizontal="left" indent="1"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85" fontId="26" fillId="35" borderId="0" xfId="0" applyNumberFormat="1" applyFont="1" applyFill="1" applyBorder="1" applyAlignment="1">
      <alignment horizontal="left"/>
    </xf>
    <xf numFmtId="185" fontId="26" fillId="35" borderId="0" xfId="0" applyNumberFormat="1" applyFont="1" applyFill="1" applyBorder="1" applyAlignment="1">
      <alignment horizontal="left" indent="2"/>
    </xf>
    <xf numFmtId="185" fontId="4" fillId="35" borderId="0" xfId="0" applyNumberFormat="1" applyFont="1" applyFill="1" applyBorder="1" applyAlignment="1">
      <alignment horizontal="left" indent="2"/>
    </xf>
    <xf numFmtId="195" fontId="10" fillId="35" borderId="20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78" fontId="9" fillId="35" borderId="15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4" fontId="9" fillId="35" borderId="15" xfId="0" applyNumberFormat="1" applyFont="1" applyFill="1" applyBorder="1" applyAlignment="1">
      <alignment/>
    </xf>
    <xf numFmtId="4" fontId="9" fillId="35" borderId="15" xfId="0" applyNumberFormat="1" applyFont="1" applyFill="1" applyBorder="1" applyAlignment="1">
      <alignment horizontal="right"/>
    </xf>
    <xf numFmtId="2" fontId="9" fillId="35" borderId="15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78" fontId="9" fillId="35" borderId="21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9" fillId="0" borderId="0" xfId="0" applyFont="1" applyAlignment="1">
      <alignment horizontal="left"/>
    </xf>
    <xf numFmtId="185" fontId="26" fillId="35" borderId="0" xfId="64" applyNumberFormat="1" applyFont="1" applyFill="1" applyBorder="1">
      <alignment/>
      <protection/>
    </xf>
    <xf numFmtId="0" fontId="37" fillId="0" borderId="16" xfId="0" applyFont="1" applyBorder="1" applyAlignment="1">
      <alignment/>
    </xf>
    <xf numFmtId="0" fontId="36" fillId="0" borderId="16" xfId="0" applyFont="1" applyBorder="1" applyAlignment="1">
      <alignment horizontal="center"/>
    </xf>
    <xf numFmtId="0" fontId="38" fillId="34" borderId="16" xfId="0" applyFont="1" applyFill="1" applyBorder="1" applyAlignment="1">
      <alignment/>
    </xf>
    <xf numFmtId="0" fontId="36" fillId="0" borderId="16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16" xfId="0" applyNumberFormat="1" applyFont="1" applyBorder="1" applyAlignment="1">
      <alignment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3" xfId="0" applyFont="1" applyBorder="1" applyAlignment="1">
      <alignment/>
    </xf>
    <xf numFmtId="0" fontId="36" fillId="34" borderId="23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3" xfId="0" applyFont="1" applyFill="1" applyBorder="1" applyAlignment="1">
      <alignment/>
    </xf>
    <xf numFmtId="0" fontId="36" fillId="35" borderId="23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85" fontId="38" fillId="35" borderId="15" xfId="0" applyNumberFormat="1" applyFont="1" applyFill="1" applyBorder="1" applyAlignment="1">
      <alignment horizontal="center"/>
    </xf>
    <xf numFmtId="178" fontId="38" fillId="35" borderId="15" xfId="0" applyNumberFormat="1" applyFont="1" applyFill="1" applyBorder="1" applyAlignment="1">
      <alignment/>
    </xf>
    <xf numFmtId="178" fontId="38" fillId="35" borderId="15" xfId="0" applyNumberFormat="1" applyFont="1" applyFill="1" applyBorder="1" applyAlignment="1">
      <alignment horizontal="right"/>
    </xf>
    <xf numFmtId="178" fontId="38" fillId="35" borderId="23" xfId="0" applyNumberFormat="1" applyFont="1" applyFill="1" applyBorder="1" applyAlignment="1">
      <alignment/>
    </xf>
    <xf numFmtId="178" fontId="38" fillId="35" borderId="23" xfId="0" applyNumberFormat="1" applyFont="1" applyFill="1" applyBorder="1" applyAlignment="1">
      <alignment horizontal="right"/>
    </xf>
    <xf numFmtId="178" fontId="38" fillId="35" borderId="15" xfId="0" applyNumberFormat="1" applyFont="1" applyFill="1" applyBorder="1" applyAlignment="1">
      <alignment/>
    </xf>
    <xf numFmtId="178" fontId="38" fillId="35" borderId="15" xfId="0" applyNumberFormat="1" applyFont="1" applyFill="1" applyBorder="1" applyAlignment="1">
      <alignment horizontal="center"/>
    </xf>
    <xf numFmtId="178" fontId="38" fillId="35" borderId="23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2" fontId="38" fillId="35" borderId="15" xfId="0" applyNumberFormat="1" applyFont="1" applyFill="1" applyBorder="1" applyAlignment="1">
      <alignment/>
    </xf>
    <xf numFmtId="182" fontId="38" fillId="35" borderId="15" xfId="0" applyNumberFormat="1" applyFont="1" applyFill="1" applyBorder="1" applyAlignment="1">
      <alignment horizontal="center"/>
    </xf>
    <xf numFmtId="182" fontId="38" fillId="35" borderId="15" xfId="0" applyNumberFormat="1" applyFont="1" applyFill="1" applyBorder="1" applyAlignment="1">
      <alignment horizontal="right"/>
    </xf>
    <xf numFmtId="182" fontId="38" fillId="35" borderId="23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0" fillId="34" borderId="21" xfId="0" applyFont="1" applyFill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8" fillId="34" borderId="21" xfId="0" applyFont="1" applyFill="1" applyBorder="1" applyAlignment="1">
      <alignment/>
    </xf>
    <xf numFmtId="0" fontId="36" fillId="0" borderId="21" xfId="0" applyFont="1" applyBorder="1" applyAlignment="1">
      <alignment/>
    </xf>
    <xf numFmtId="0" fontId="36" fillId="0" borderId="24" xfId="0" applyFont="1" applyBorder="1" applyAlignment="1">
      <alignment/>
    </xf>
    <xf numFmtId="0" fontId="36" fillId="34" borderId="24" xfId="0" applyFont="1" applyFill="1" applyBorder="1" applyAlignment="1">
      <alignment/>
    </xf>
    <xf numFmtId="2" fontId="36" fillId="0" borderId="21" xfId="0" applyNumberFormat="1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3" xfId="0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202" fontId="4" fillId="35" borderId="0" xfId="42" applyNumberFormat="1" applyFont="1" applyFill="1" applyBorder="1" applyAlignment="1">
      <alignment horizontal="right"/>
    </xf>
    <xf numFmtId="202" fontId="4" fillId="36" borderId="0" xfId="42" applyNumberFormat="1" applyFont="1" applyFill="1" applyBorder="1" applyAlignment="1">
      <alignment horizontal="right"/>
    </xf>
    <xf numFmtId="0" fontId="26" fillId="35" borderId="26" xfId="64" applyFont="1" applyFill="1" applyBorder="1">
      <alignment/>
      <protection/>
    </xf>
    <xf numFmtId="0" fontId="44" fillId="0" borderId="0" xfId="0" applyFont="1" applyAlignment="1">
      <alignment/>
    </xf>
    <xf numFmtId="0" fontId="13" fillId="33" borderId="13" xfId="0" applyFont="1" applyFill="1" applyBorder="1" applyAlignment="1">
      <alignment horizontal="right"/>
    </xf>
    <xf numFmtId="185" fontId="4" fillId="0" borderId="27" xfId="0" applyNumberFormat="1" applyFont="1" applyFill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15" fillId="0" borderId="0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17" fontId="39" fillId="33" borderId="16" xfId="0" applyNumberFormat="1" applyFont="1" applyFill="1" applyBorder="1" applyAlignment="1">
      <alignment horizontal="center"/>
    </xf>
    <xf numFmtId="17" fontId="39" fillId="33" borderId="22" xfId="0" applyNumberFormat="1" applyFont="1" applyFill="1" applyBorder="1" applyAlignment="1">
      <alignment horizontal="center"/>
    </xf>
    <xf numFmtId="185" fontId="26" fillId="35" borderId="0" xfId="0" applyNumberFormat="1" applyFont="1" applyFill="1" applyBorder="1" applyAlignment="1">
      <alignment horizontal="right"/>
    </xf>
    <xf numFmtId="185" fontId="4" fillId="35" borderId="0" xfId="0" applyNumberFormat="1" applyFont="1" applyFill="1" applyBorder="1" applyAlignment="1">
      <alignment horizontal="right"/>
    </xf>
    <xf numFmtId="185" fontId="26" fillId="35" borderId="18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 horizontal="right"/>
    </xf>
    <xf numFmtId="178" fontId="4" fillId="35" borderId="18" xfId="0" applyNumberFormat="1" applyFont="1" applyFill="1" applyBorder="1" applyAlignment="1">
      <alignment/>
    </xf>
    <xf numFmtId="185" fontId="4" fillId="36" borderId="18" xfId="0" applyNumberFormat="1" applyFont="1" applyFill="1" applyBorder="1" applyAlignment="1">
      <alignment/>
    </xf>
    <xf numFmtId="185" fontId="26" fillId="35" borderId="26" xfId="0" applyNumberFormat="1" applyFont="1" applyFill="1" applyBorder="1" applyAlignment="1">
      <alignment/>
    </xf>
    <xf numFmtId="178" fontId="4" fillId="35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8" fontId="9" fillId="35" borderId="15" xfId="0" applyNumberFormat="1" applyFont="1" applyFill="1" applyBorder="1" applyAlignment="1">
      <alignment horizontal="right"/>
    </xf>
    <xf numFmtId="195" fontId="10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/>
    </xf>
    <xf numFmtId="185" fontId="9" fillId="0" borderId="0" xfId="0" applyNumberFormat="1" applyFont="1" applyFill="1" applyBorder="1" applyAlignment="1">
      <alignment/>
    </xf>
    <xf numFmtId="2" fontId="9" fillId="0" borderId="0" xfId="42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 horizontal="right"/>
    </xf>
    <xf numFmtId="185" fontId="9" fillId="35" borderId="21" xfId="0" applyNumberFormat="1" applyFont="1" applyFill="1" applyBorder="1" applyAlignment="1">
      <alignment/>
    </xf>
    <xf numFmtId="185" fontId="9" fillId="35" borderId="16" xfId="0" applyNumberFormat="1" applyFont="1" applyFill="1" applyBorder="1" applyAlignment="1">
      <alignment/>
    </xf>
    <xf numFmtId="2" fontId="9" fillId="35" borderId="21" xfId="0" applyNumberFormat="1" applyFont="1" applyFill="1" applyBorder="1" applyAlignment="1">
      <alignment/>
    </xf>
    <xf numFmtId="17" fontId="13" fillId="33" borderId="26" xfId="0" applyNumberFormat="1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0" fillId="0" borderId="29" xfId="0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26" fillId="35" borderId="30" xfId="64" applyFont="1" applyFill="1" applyBorder="1">
      <alignment/>
      <protection/>
    </xf>
    <xf numFmtId="178" fontId="26" fillId="35" borderId="29" xfId="0" applyNumberFormat="1" applyFont="1" applyFill="1" applyBorder="1" applyAlignment="1">
      <alignment/>
    </xf>
    <xf numFmtId="0" fontId="27" fillId="35" borderId="30" xfId="64" applyFont="1" applyFill="1" applyBorder="1" applyAlignment="1">
      <alignment horizontal="left" indent="1"/>
      <protection/>
    </xf>
    <xf numFmtId="178" fontId="4" fillId="35" borderId="29" xfId="0" applyNumberFormat="1" applyFont="1" applyFill="1" applyBorder="1" applyAlignment="1">
      <alignment/>
    </xf>
    <xf numFmtId="0" fontId="26" fillId="35" borderId="30" xfId="64" applyFont="1" applyFill="1" applyBorder="1" applyAlignment="1">
      <alignment horizontal="left"/>
      <protection/>
    </xf>
    <xf numFmtId="185" fontId="27" fillId="35" borderId="30" xfId="64" applyNumberFormat="1" applyFont="1" applyFill="1" applyBorder="1" applyAlignment="1">
      <alignment horizontal="left" indent="1"/>
      <protection/>
    </xf>
    <xf numFmtId="185" fontId="4" fillId="35" borderId="30" xfId="64" applyNumberFormat="1" applyFont="1" applyFill="1" applyBorder="1">
      <alignment/>
      <protection/>
    </xf>
    <xf numFmtId="185" fontId="26" fillId="35" borderId="31" xfId="64" applyNumberFormat="1" applyFont="1" applyFill="1" applyBorder="1">
      <alignment/>
      <protection/>
    </xf>
    <xf numFmtId="178" fontId="26" fillId="35" borderId="32" xfId="0" applyNumberFormat="1" applyFont="1" applyFill="1" applyBorder="1" applyAlignment="1">
      <alignment/>
    </xf>
    <xf numFmtId="0" fontId="0" fillId="0" borderId="30" xfId="0" applyBorder="1" applyAlignment="1">
      <alignment/>
    </xf>
    <xf numFmtId="185" fontId="27" fillId="35" borderId="31" xfId="0" applyNumberFormat="1" applyFont="1" applyFill="1" applyBorder="1" applyAlignment="1">
      <alignment horizontal="left" indent="1"/>
    </xf>
    <xf numFmtId="185" fontId="26" fillId="35" borderId="26" xfId="64" applyNumberFormat="1" applyFont="1" applyFill="1" applyBorder="1">
      <alignment/>
      <protection/>
    </xf>
    <xf numFmtId="185" fontId="26" fillId="35" borderId="32" xfId="0" applyNumberFormat="1" applyFont="1" applyFill="1" applyBorder="1" applyAlignment="1">
      <alignment/>
    </xf>
    <xf numFmtId="185" fontId="26" fillId="34" borderId="30" xfId="0" applyNumberFormat="1" applyFont="1" applyFill="1" applyBorder="1" applyAlignment="1">
      <alignment/>
    </xf>
    <xf numFmtId="0" fontId="0" fillId="34" borderId="30" xfId="0" applyFill="1" applyBorder="1" applyAlignment="1">
      <alignment/>
    </xf>
    <xf numFmtId="0" fontId="26" fillId="35" borderId="30" xfId="0" applyFont="1" applyFill="1" applyBorder="1" applyAlignment="1">
      <alignment/>
    </xf>
    <xf numFmtId="0" fontId="27" fillId="35" borderId="30" xfId="0" applyFont="1" applyFill="1" applyBorder="1" applyAlignment="1">
      <alignment horizontal="left" indent="1"/>
    </xf>
    <xf numFmtId="0" fontId="27" fillId="37" borderId="30" xfId="0" applyFont="1" applyFill="1" applyBorder="1" applyAlignment="1">
      <alignment horizontal="left" indent="2"/>
    </xf>
    <xf numFmtId="0" fontId="4" fillId="35" borderId="30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185" fontId="4" fillId="35" borderId="26" xfId="0" applyNumberFormat="1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34" xfId="0" applyFont="1" applyFill="1" applyBorder="1" applyAlignment="1">
      <alignment/>
    </xf>
    <xf numFmtId="0" fontId="13" fillId="33" borderId="35" xfId="0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0" fontId="4" fillId="35" borderId="36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85" fontId="26" fillId="35" borderId="23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185" fontId="4" fillId="35" borderId="23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85" fontId="26" fillId="35" borderId="24" xfId="0" applyNumberFormat="1" applyFont="1" applyFill="1" applyBorder="1" applyAlignment="1">
      <alignment/>
    </xf>
    <xf numFmtId="0" fontId="15" fillId="35" borderId="37" xfId="0" applyFont="1" applyFill="1" applyBorder="1" applyAlignment="1">
      <alignment/>
    </xf>
    <xf numFmtId="185" fontId="15" fillId="35" borderId="36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185" fontId="4" fillId="35" borderId="18" xfId="0" applyNumberFormat="1" applyFont="1" applyFill="1" applyBorder="1" applyAlignment="1">
      <alignment/>
    </xf>
    <xf numFmtId="185" fontId="4" fillId="35" borderId="24" xfId="0" applyNumberFormat="1" applyFont="1" applyFill="1" applyBorder="1" applyAlignment="1">
      <alignment/>
    </xf>
    <xf numFmtId="0" fontId="4" fillId="36" borderId="37" xfId="0" applyFont="1" applyFill="1" applyBorder="1" applyAlignment="1">
      <alignment/>
    </xf>
    <xf numFmtId="0" fontId="4" fillId="36" borderId="36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185" fontId="26" fillId="36" borderId="23" xfId="0" applyNumberFormat="1" applyFont="1" applyFill="1" applyBorder="1" applyAlignment="1">
      <alignment/>
    </xf>
    <xf numFmtId="0" fontId="27" fillId="37" borderId="11" xfId="0" applyFont="1" applyFill="1" applyBorder="1" applyAlignment="1">
      <alignment horizontal="left" indent="2"/>
    </xf>
    <xf numFmtId="185" fontId="4" fillId="36" borderId="23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0" fontId="4" fillId="37" borderId="12" xfId="0" applyFont="1" applyFill="1" applyBorder="1" applyAlignment="1">
      <alignment horizontal="left" indent="3"/>
    </xf>
    <xf numFmtId="185" fontId="4" fillId="36" borderId="24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 horizontal="right"/>
    </xf>
    <xf numFmtId="178" fontId="4" fillId="35" borderId="18" xfId="0" applyNumberFormat="1" applyFont="1" applyFill="1" applyBorder="1" applyAlignment="1">
      <alignment horizontal="right"/>
    </xf>
    <xf numFmtId="46" fontId="13" fillId="33" borderId="38" xfId="0" applyNumberFormat="1" applyFont="1" applyFill="1" applyBorder="1" applyAlignment="1">
      <alignment horizontal="center"/>
    </xf>
    <xf numFmtId="46" fontId="13" fillId="33" borderId="39" xfId="0" applyNumberFormat="1" applyFont="1" applyFill="1" applyBorder="1" applyAlignment="1">
      <alignment horizontal="center"/>
    </xf>
    <xf numFmtId="46" fontId="13" fillId="33" borderId="40" xfId="0" applyNumberFormat="1" applyFont="1" applyFill="1" applyBorder="1" applyAlignment="1">
      <alignment horizontal="center"/>
    </xf>
    <xf numFmtId="0" fontId="20" fillId="33" borderId="41" xfId="0" applyFont="1" applyFill="1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0" fillId="33" borderId="43" xfId="0" applyFont="1" applyFill="1" applyBorder="1" applyAlignment="1">
      <alignment horizontal="center"/>
    </xf>
    <xf numFmtId="0" fontId="20" fillId="33" borderId="44" xfId="0" applyFont="1" applyFill="1" applyBorder="1" applyAlignment="1">
      <alignment horizontal="center"/>
    </xf>
    <xf numFmtId="0" fontId="20" fillId="33" borderId="45" xfId="0" applyFont="1" applyFill="1" applyBorder="1" applyAlignment="1">
      <alignment horizontal="center"/>
    </xf>
    <xf numFmtId="0" fontId="20" fillId="33" borderId="46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20" fillId="33" borderId="47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0" fillId="33" borderId="48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325"/>
          <c:w val="0.8967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Chart'!$AQ$7:$BC$7</c:f>
              <c:numCache>
                <c:ptCount val="13"/>
                <c:pt idx="0">
                  <c:v>38898</c:v>
                </c:pt>
                <c:pt idx="1">
                  <c:v>38929</c:v>
                </c:pt>
                <c:pt idx="2">
                  <c:v>38960</c:v>
                </c:pt>
                <c:pt idx="3">
                  <c:v>38990</c:v>
                </c:pt>
                <c:pt idx="4">
                  <c:v>39021</c:v>
                </c:pt>
                <c:pt idx="5">
                  <c:v>39051</c:v>
                </c:pt>
                <c:pt idx="6">
                  <c:v>39082</c:v>
                </c:pt>
                <c:pt idx="7">
                  <c:v>39113</c:v>
                </c:pt>
                <c:pt idx="8">
                  <c:v>39141</c:v>
                </c:pt>
                <c:pt idx="9">
                  <c:v>39172</c:v>
                </c:pt>
                <c:pt idx="10">
                  <c:v>39202</c:v>
                </c:pt>
                <c:pt idx="11">
                  <c:v>39233</c:v>
                </c:pt>
                <c:pt idx="12">
                  <c:v>39263</c:v>
                </c:pt>
              </c:numCache>
            </c:numRef>
          </c:cat>
          <c:val>
            <c:numRef>
              <c:f>'[2]M1 M2 Chart'!$AQ$8:$BC$8</c:f>
              <c:numCache>
                <c:ptCount val="13"/>
                <c:pt idx="0">
                  <c:v>4.218696831444213</c:v>
                </c:pt>
                <c:pt idx="1">
                  <c:v>2.064092169580869</c:v>
                </c:pt>
                <c:pt idx="2">
                  <c:v>-1.6380485020217113</c:v>
                </c:pt>
                <c:pt idx="3">
                  <c:v>4.277929218815961</c:v>
                </c:pt>
                <c:pt idx="4">
                  <c:v>3.375699863912038</c:v>
                </c:pt>
                <c:pt idx="5">
                  <c:v>1.7061921582027462</c:v>
                </c:pt>
                <c:pt idx="6">
                  <c:v>-0.34170916060395856</c:v>
                </c:pt>
                <c:pt idx="7">
                  <c:v>3.1247813249456087</c:v>
                </c:pt>
                <c:pt idx="8">
                  <c:v>-0.8175012350289527</c:v>
                </c:pt>
                <c:pt idx="9">
                  <c:v>-2.0163592435092164</c:v>
                </c:pt>
                <c:pt idx="10">
                  <c:v>2.124264004786151</c:v>
                </c:pt>
                <c:pt idx="11">
                  <c:v>1.8639134323938458</c:v>
                </c:pt>
                <c:pt idx="12">
                  <c:v>-4.265278640754327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Chart'!$AQ$7:$BC$7</c:f>
              <c:numCache>
                <c:ptCount val="13"/>
                <c:pt idx="0">
                  <c:v>38898</c:v>
                </c:pt>
                <c:pt idx="1">
                  <c:v>38929</c:v>
                </c:pt>
                <c:pt idx="2">
                  <c:v>38960</c:v>
                </c:pt>
                <c:pt idx="3">
                  <c:v>38990</c:v>
                </c:pt>
                <c:pt idx="4">
                  <c:v>39021</c:v>
                </c:pt>
                <c:pt idx="5">
                  <c:v>39051</c:v>
                </c:pt>
                <c:pt idx="6">
                  <c:v>39082</c:v>
                </c:pt>
                <c:pt idx="7">
                  <c:v>39113</c:v>
                </c:pt>
                <c:pt idx="8">
                  <c:v>39141</c:v>
                </c:pt>
                <c:pt idx="9">
                  <c:v>39172</c:v>
                </c:pt>
                <c:pt idx="10">
                  <c:v>39202</c:v>
                </c:pt>
                <c:pt idx="11">
                  <c:v>39233</c:v>
                </c:pt>
                <c:pt idx="12">
                  <c:v>39263</c:v>
                </c:pt>
              </c:numCache>
            </c:numRef>
          </c:cat>
          <c:val>
            <c:numRef>
              <c:f>'[2]M1 M2 Chart'!$AQ$9:$BC$9</c:f>
              <c:numCache>
                <c:ptCount val="13"/>
                <c:pt idx="0">
                  <c:v>1.5601745047783908</c:v>
                </c:pt>
                <c:pt idx="1">
                  <c:v>3.1219530629032963</c:v>
                </c:pt>
                <c:pt idx="2">
                  <c:v>-1.2778560719822774</c:v>
                </c:pt>
                <c:pt idx="3">
                  <c:v>4.381616536762638</c:v>
                </c:pt>
                <c:pt idx="4">
                  <c:v>11.541825685977763</c:v>
                </c:pt>
                <c:pt idx="5">
                  <c:v>-0.570174384078555</c:v>
                </c:pt>
                <c:pt idx="6">
                  <c:v>-3.8684085489309523</c:v>
                </c:pt>
                <c:pt idx="7">
                  <c:v>6.0581762262908185</c:v>
                </c:pt>
                <c:pt idx="8">
                  <c:v>0.8055996711286546</c:v>
                </c:pt>
                <c:pt idx="9">
                  <c:v>1.2216558177303205</c:v>
                </c:pt>
                <c:pt idx="10">
                  <c:v>0.2938067770753827</c:v>
                </c:pt>
                <c:pt idx="11">
                  <c:v>0.41015757279167386</c:v>
                </c:pt>
                <c:pt idx="12">
                  <c:v>-10.514576369690575</c:v>
                </c:pt>
              </c:numCache>
            </c:numRef>
          </c:val>
          <c:smooth val="0"/>
        </c:ser>
        <c:marker val="1"/>
        <c:axId val="17951573"/>
        <c:axId val="16606702"/>
      </c:lineChart>
      <c:dateAx>
        <c:axId val="1795157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16606702"/>
        <c:crosses val="autoZero"/>
        <c:auto val="0"/>
        <c:noMultiLvlLbl val="0"/>
      </c:dateAx>
      <c:valAx>
        <c:axId val="16606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17951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"/>
          <c:y val="0.939"/>
          <c:w val="0.5387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3375"/>
          <c:w val="0.9342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chart'!$AP$10:$BB$10</c:f>
              <c:numCache>
                <c:ptCount val="13"/>
                <c:pt idx="0">
                  <c:v>38898</c:v>
                </c:pt>
                <c:pt idx="1">
                  <c:v>38929</c:v>
                </c:pt>
                <c:pt idx="2">
                  <c:v>38960</c:v>
                </c:pt>
                <c:pt idx="3">
                  <c:v>38990</c:v>
                </c:pt>
                <c:pt idx="4">
                  <c:v>39021</c:v>
                </c:pt>
                <c:pt idx="5">
                  <c:v>39051</c:v>
                </c:pt>
                <c:pt idx="6">
                  <c:v>39082</c:v>
                </c:pt>
                <c:pt idx="7">
                  <c:v>39113</c:v>
                </c:pt>
                <c:pt idx="8">
                  <c:v>39141</c:v>
                </c:pt>
                <c:pt idx="9">
                  <c:v>39172</c:v>
                </c:pt>
                <c:pt idx="10">
                  <c:v>39202</c:v>
                </c:pt>
                <c:pt idx="11">
                  <c:v>39233</c:v>
                </c:pt>
                <c:pt idx="12">
                  <c:v>39263</c:v>
                </c:pt>
              </c:numCache>
            </c:numRef>
          </c:cat>
          <c:val>
            <c:numRef>
              <c:f>'[2] PSC chart'!$AP$11:$BB$11</c:f>
              <c:numCache>
                <c:ptCount val="13"/>
                <c:pt idx="0">
                  <c:v>2.6579112339420976</c:v>
                </c:pt>
                <c:pt idx="1">
                  <c:v>-1.7217054446794489</c:v>
                </c:pt>
                <c:pt idx="2">
                  <c:v>2.56009021400702</c:v>
                </c:pt>
                <c:pt idx="3">
                  <c:v>0.20969565247536456</c:v>
                </c:pt>
                <c:pt idx="4">
                  <c:v>-1.5314771320431253</c:v>
                </c:pt>
                <c:pt idx="5">
                  <c:v>2.9984069201778913</c:v>
                </c:pt>
                <c:pt idx="6">
                  <c:v>0.2131848422549674</c:v>
                </c:pt>
                <c:pt idx="7">
                  <c:v>-6.01361231956756</c:v>
                </c:pt>
                <c:pt idx="8">
                  <c:v>3.468989134525586</c:v>
                </c:pt>
                <c:pt idx="9">
                  <c:v>-1.1060404066356289</c:v>
                </c:pt>
                <c:pt idx="10">
                  <c:v>-2.5080256273845984</c:v>
                </c:pt>
                <c:pt idx="11">
                  <c:v>3.6996475995276263</c:v>
                </c:pt>
                <c:pt idx="12">
                  <c:v>0.6628882707765882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chart'!$AP$10:$BB$10</c:f>
              <c:numCache>
                <c:ptCount val="13"/>
                <c:pt idx="0">
                  <c:v>38898</c:v>
                </c:pt>
                <c:pt idx="1">
                  <c:v>38929</c:v>
                </c:pt>
                <c:pt idx="2">
                  <c:v>38960</c:v>
                </c:pt>
                <c:pt idx="3">
                  <c:v>38990</c:v>
                </c:pt>
                <c:pt idx="4">
                  <c:v>39021</c:v>
                </c:pt>
                <c:pt idx="5">
                  <c:v>39051</c:v>
                </c:pt>
                <c:pt idx="6">
                  <c:v>39082</c:v>
                </c:pt>
                <c:pt idx="7">
                  <c:v>39113</c:v>
                </c:pt>
                <c:pt idx="8">
                  <c:v>39141</c:v>
                </c:pt>
                <c:pt idx="9">
                  <c:v>39172</c:v>
                </c:pt>
                <c:pt idx="10">
                  <c:v>39202</c:v>
                </c:pt>
                <c:pt idx="11">
                  <c:v>39233</c:v>
                </c:pt>
                <c:pt idx="12">
                  <c:v>39263</c:v>
                </c:pt>
              </c:numCache>
            </c:numRef>
          </c:cat>
          <c:val>
            <c:numRef>
              <c:f>'[2] PSC chart'!$AP$12:$BB$12</c:f>
              <c:numCache>
                <c:ptCount val="13"/>
                <c:pt idx="0">
                  <c:v>0.5301595046702494</c:v>
                </c:pt>
                <c:pt idx="1">
                  <c:v>2.723141408263861</c:v>
                </c:pt>
                <c:pt idx="2">
                  <c:v>0.25593587875896684</c:v>
                </c:pt>
                <c:pt idx="3">
                  <c:v>0.057520487008683195</c:v>
                </c:pt>
                <c:pt idx="4">
                  <c:v>1.4821953880777343</c:v>
                </c:pt>
                <c:pt idx="5">
                  <c:v>0.15550027153967988</c:v>
                </c:pt>
                <c:pt idx="6">
                  <c:v>0.6583832117324644</c:v>
                </c:pt>
                <c:pt idx="7">
                  <c:v>2.5491633077906704</c:v>
                </c:pt>
                <c:pt idx="8">
                  <c:v>1.43400578490035</c:v>
                </c:pt>
                <c:pt idx="9">
                  <c:v>0.775029504938087</c:v>
                </c:pt>
                <c:pt idx="10">
                  <c:v>0.4128579839358425</c:v>
                </c:pt>
                <c:pt idx="11">
                  <c:v>0.13441753430499181</c:v>
                </c:pt>
                <c:pt idx="12">
                  <c:v>1.6600517682014835</c:v>
                </c:pt>
              </c:numCache>
            </c:numRef>
          </c:val>
          <c:smooth val="0"/>
        </c:ser>
        <c:marker val="1"/>
        <c:axId val="7057919"/>
        <c:axId val="66757064"/>
      </c:lineChart>
      <c:dateAx>
        <c:axId val="705791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50" b="0" i="0" u="none" baseline="0">
                <a:solidFill>
                  <a:srgbClr val="800000"/>
                </a:solidFill>
              </a:defRPr>
            </a:pPr>
          </a:p>
        </c:txPr>
        <c:crossAx val="66757064"/>
        <c:crosses val="autoZero"/>
        <c:auto val="0"/>
        <c:noMultiLvlLbl val="0"/>
      </c:dateAx>
      <c:valAx>
        <c:axId val="66757064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800000"/>
                </a:solidFill>
              </a:defRPr>
            </a:pPr>
          </a:p>
        </c:txPr>
        <c:crossAx val="7057919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425"/>
          <c:y val="0.907"/>
          <c:w val="0.416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99"/>
          <c:w val="0.88675"/>
          <c:h val="0.7102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'[4]Data'!$D$194:$D$206</c:f>
              <c:numCache>
                <c:ptCount val="13"/>
                <c:pt idx="0">
                  <c:v>38870</c:v>
                </c:pt>
                <c:pt idx="1">
                  <c:v>38900</c:v>
                </c:pt>
                <c:pt idx="2">
                  <c:v>38931</c:v>
                </c:pt>
                <c:pt idx="3">
                  <c:v>38962</c:v>
                </c:pt>
                <c:pt idx="4">
                  <c:v>38992</c:v>
                </c:pt>
                <c:pt idx="5">
                  <c:v>39023</c:v>
                </c:pt>
                <c:pt idx="6">
                  <c:v>39053</c:v>
                </c:pt>
                <c:pt idx="7">
                  <c:v>39084</c:v>
                </c:pt>
                <c:pt idx="8">
                  <c:v>39115</c:v>
                </c:pt>
                <c:pt idx="9">
                  <c:v>39143</c:v>
                </c:pt>
                <c:pt idx="10">
                  <c:v>39174</c:v>
                </c:pt>
                <c:pt idx="11">
                  <c:v>39204</c:v>
                </c:pt>
                <c:pt idx="12">
                  <c:v>39235</c:v>
                </c:pt>
              </c:numCache>
            </c:numRef>
          </c:cat>
          <c:val>
            <c:numRef>
              <c:f>'[4]Data'!$F$194:$F$206</c:f>
              <c:numCache>
                <c:ptCount val="13"/>
                <c:pt idx="0">
                  <c:v>7.5</c:v>
                </c:pt>
                <c:pt idx="1">
                  <c:v>7.5</c:v>
                </c:pt>
                <c:pt idx="2">
                  <c:v>8</c:v>
                </c:pt>
                <c:pt idx="3">
                  <c:v>8</c:v>
                </c:pt>
                <c:pt idx="4">
                  <c:v>8.5</c:v>
                </c:pt>
                <c:pt idx="5">
                  <c:v>8.5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9.5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'[4]Data'!$K$5:$K$6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'[4]Data'!$D$194:$D$206</c:f>
              <c:numCache>
                <c:ptCount val="13"/>
                <c:pt idx="0">
                  <c:v>38870</c:v>
                </c:pt>
                <c:pt idx="1">
                  <c:v>38900</c:v>
                </c:pt>
                <c:pt idx="2">
                  <c:v>38931</c:v>
                </c:pt>
                <c:pt idx="3">
                  <c:v>38962</c:v>
                </c:pt>
                <c:pt idx="4">
                  <c:v>38992</c:v>
                </c:pt>
                <c:pt idx="5">
                  <c:v>39023</c:v>
                </c:pt>
                <c:pt idx="6">
                  <c:v>39053</c:v>
                </c:pt>
                <c:pt idx="7">
                  <c:v>39084</c:v>
                </c:pt>
                <c:pt idx="8">
                  <c:v>39115</c:v>
                </c:pt>
                <c:pt idx="9">
                  <c:v>39143</c:v>
                </c:pt>
                <c:pt idx="10">
                  <c:v>39174</c:v>
                </c:pt>
                <c:pt idx="11">
                  <c:v>39204</c:v>
                </c:pt>
                <c:pt idx="12">
                  <c:v>39235</c:v>
                </c:pt>
              </c:numCache>
            </c:numRef>
          </c:cat>
          <c:val>
            <c:numRef>
              <c:f>'[4]Data'!$K$194:$K$206</c:f>
              <c:numCache>
                <c:ptCount val="13"/>
                <c:pt idx="0">
                  <c:v>6.24</c:v>
                </c:pt>
                <c:pt idx="1">
                  <c:v>6.18</c:v>
                </c:pt>
                <c:pt idx="2">
                  <c:v>6.34</c:v>
                </c:pt>
                <c:pt idx="3">
                  <c:v>6.22</c:v>
                </c:pt>
                <c:pt idx="4">
                  <c:v>6.37</c:v>
                </c:pt>
                <c:pt idx="5">
                  <c:v>6.64</c:v>
                </c:pt>
                <c:pt idx="6">
                  <c:v>6.85</c:v>
                </c:pt>
                <c:pt idx="7">
                  <c:v>6.98</c:v>
                </c:pt>
                <c:pt idx="8">
                  <c:v>7.38</c:v>
                </c:pt>
                <c:pt idx="9">
                  <c:v>7.22</c:v>
                </c:pt>
                <c:pt idx="10">
                  <c:v>7.18</c:v>
                </c:pt>
                <c:pt idx="11">
                  <c:v>7.34</c:v>
                </c:pt>
                <c:pt idx="12">
                  <c:v>7.24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'[4]Data'!$D$194:$D$206</c:f>
              <c:numCache>
                <c:ptCount val="13"/>
                <c:pt idx="0">
                  <c:v>38870</c:v>
                </c:pt>
                <c:pt idx="1">
                  <c:v>38900</c:v>
                </c:pt>
                <c:pt idx="2">
                  <c:v>38931</c:v>
                </c:pt>
                <c:pt idx="3">
                  <c:v>38962</c:v>
                </c:pt>
                <c:pt idx="4">
                  <c:v>38992</c:v>
                </c:pt>
                <c:pt idx="5">
                  <c:v>39023</c:v>
                </c:pt>
                <c:pt idx="6">
                  <c:v>39053</c:v>
                </c:pt>
                <c:pt idx="7">
                  <c:v>39084</c:v>
                </c:pt>
                <c:pt idx="8">
                  <c:v>39115</c:v>
                </c:pt>
                <c:pt idx="9">
                  <c:v>39143</c:v>
                </c:pt>
                <c:pt idx="10">
                  <c:v>39174</c:v>
                </c:pt>
                <c:pt idx="11">
                  <c:v>39204</c:v>
                </c:pt>
                <c:pt idx="12">
                  <c:v>39235</c:v>
                </c:pt>
              </c:numCache>
            </c:numRef>
          </c:cat>
          <c:val>
            <c:numRef>
              <c:f>'[4]Data'!$L$194:$L$206</c:f>
              <c:numCache>
                <c:ptCount val="13"/>
                <c:pt idx="0">
                  <c:v>10.61</c:v>
                </c:pt>
                <c:pt idx="1">
                  <c:v>10.93</c:v>
                </c:pt>
                <c:pt idx="2">
                  <c:v>11.01</c:v>
                </c:pt>
                <c:pt idx="3">
                  <c:v>11.71</c:v>
                </c:pt>
                <c:pt idx="4">
                  <c:v>11.97</c:v>
                </c:pt>
                <c:pt idx="5">
                  <c:v>12.2</c:v>
                </c:pt>
                <c:pt idx="6">
                  <c:v>12.43</c:v>
                </c:pt>
                <c:pt idx="7">
                  <c:v>12.63</c:v>
                </c:pt>
                <c:pt idx="8">
                  <c:v>12.32</c:v>
                </c:pt>
                <c:pt idx="9">
                  <c:v>11.9</c:v>
                </c:pt>
                <c:pt idx="10">
                  <c:v>12.44</c:v>
                </c:pt>
                <c:pt idx="11">
                  <c:v>12.65</c:v>
                </c:pt>
                <c:pt idx="12">
                  <c:v>12.22</c:v>
                </c:pt>
              </c:numCache>
            </c:numRef>
          </c:val>
          <c:smooth val="0"/>
        </c:ser>
        <c:marker val="1"/>
        <c:axId val="47056265"/>
        <c:axId val="64961410"/>
      </c:lineChart>
      <c:catAx>
        <c:axId val="4705626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575" b="0" i="0" u="none" baseline="0">
                <a:solidFill>
                  <a:srgbClr val="800000"/>
                </a:solidFill>
              </a:defRPr>
            </a:pPr>
          </a:p>
        </c:txPr>
        <c:crossAx val="64961410"/>
        <c:crossesAt val="0"/>
        <c:auto val="1"/>
        <c:lblOffset val="100"/>
        <c:tickLblSkip val="1"/>
        <c:noMultiLvlLbl val="0"/>
      </c:catAx>
      <c:valAx>
        <c:axId val="64961410"/>
        <c:scaling>
          <c:orientation val="minMax"/>
          <c:max val="16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800000"/>
                    </a:solidFill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800000"/>
                </a:solidFill>
              </a:defRPr>
            </a:pPr>
          </a:p>
        </c:txPr>
        <c:crossAx val="47056265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859"/>
          <c:w val="0.527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6075"/>
          <c:w val="0.914"/>
          <c:h val="0.874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'[5]Monthly indices'!$B$128:$B$140</c:f>
              <c:numCache>
                <c:ptCount val="13"/>
                <c:pt idx="0">
                  <c:v>38869</c:v>
                </c:pt>
                <c:pt idx="1">
                  <c:v>38899</c:v>
                </c:pt>
                <c:pt idx="2">
                  <c:v>38960</c:v>
                </c:pt>
                <c:pt idx="3">
                  <c:v>38990</c:v>
                </c:pt>
                <c:pt idx="4">
                  <c:v>39021</c:v>
                </c:pt>
                <c:pt idx="5">
                  <c:v>39051</c:v>
                </c:pt>
                <c:pt idx="6">
                  <c:v>39082</c:v>
                </c:pt>
                <c:pt idx="7">
                  <c:v>39113</c:v>
                </c:pt>
                <c:pt idx="8">
                  <c:v>39141</c:v>
                </c:pt>
                <c:pt idx="9">
                  <c:v>39172</c:v>
                </c:pt>
                <c:pt idx="10">
                  <c:v>39202</c:v>
                </c:pt>
                <c:pt idx="11">
                  <c:v>39233</c:v>
                </c:pt>
                <c:pt idx="12">
                  <c:v>39263</c:v>
                </c:pt>
              </c:numCache>
            </c:numRef>
          </c:cat>
          <c:val>
            <c:numRef>
              <c:f>'[5]Monthly indices'!$C$128:$C$140</c:f>
              <c:numCache>
                <c:ptCount val="13"/>
                <c:pt idx="0">
                  <c:v>665.85</c:v>
                </c:pt>
                <c:pt idx="1">
                  <c:v>688.72</c:v>
                </c:pt>
                <c:pt idx="2">
                  <c:v>727.36</c:v>
                </c:pt>
                <c:pt idx="3">
                  <c:v>754.36</c:v>
                </c:pt>
                <c:pt idx="4">
                  <c:v>790.35</c:v>
                </c:pt>
                <c:pt idx="5">
                  <c:v>792.6</c:v>
                </c:pt>
                <c:pt idx="6">
                  <c:v>828</c:v>
                </c:pt>
                <c:pt idx="7">
                  <c:v>838.25</c:v>
                </c:pt>
                <c:pt idx="8">
                  <c:v>852.78</c:v>
                </c:pt>
                <c:pt idx="9">
                  <c:v>911.26</c:v>
                </c:pt>
                <c:pt idx="10">
                  <c:v>935</c:v>
                </c:pt>
                <c:pt idx="11">
                  <c:v>977</c:v>
                </c:pt>
                <c:pt idx="12">
                  <c:v>936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1812851"/>
        <c:axId val="2243868"/>
      </c:lineChart>
      <c:lineChart>
        <c:grouping val="standard"/>
        <c:varyColors val="0"/>
        <c:ser>
          <c:idx val="1"/>
          <c:order val="1"/>
          <c:tx>
            <c:strRef>
              <c:f>'[5]Monthly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val>
            <c:numRef>
              <c:f>'[5]Monthly indices'!$D$128:$D$140</c:f>
              <c:numCache>
                <c:ptCount val="13"/>
                <c:pt idx="0">
                  <c:v>80.95</c:v>
                </c:pt>
                <c:pt idx="1">
                  <c:v>83.73</c:v>
                </c:pt>
                <c:pt idx="2">
                  <c:v>82.05</c:v>
                </c:pt>
                <c:pt idx="3">
                  <c:v>82.05</c:v>
                </c:pt>
                <c:pt idx="4">
                  <c:v>86.01</c:v>
                </c:pt>
                <c:pt idx="5">
                  <c:v>88.1</c:v>
                </c:pt>
                <c:pt idx="6">
                  <c:v>91</c:v>
                </c:pt>
                <c:pt idx="7">
                  <c:v>92.2</c:v>
                </c:pt>
                <c:pt idx="8">
                  <c:v>94.25</c:v>
                </c:pt>
                <c:pt idx="9">
                  <c:v>101.61</c:v>
                </c:pt>
                <c:pt idx="10">
                  <c:v>101.61</c:v>
                </c:pt>
                <c:pt idx="11">
                  <c:v>104</c:v>
                </c:pt>
                <c:pt idx="12">
                  <c:v>105</c:v>
                </c:pt>
              </c:numCache>
            </c:numRef>
          </c:val>
          <c:smooth val="0"/>
        </c:ser>
        <c:marker val="1"/>
        <c:axId val="60791613"/>
        <c:axId val="42569878"/>
      </c:lineChart>
      <c:catAx>
        <c:axId val="11812851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575" b="0" i="0" u="none" baseline="0">
                <a:solidFill>
                  <a:srgbClr val="800000"/>
                </a:solidFill>
              </a:defRPr>
            </a:pPr>
          </a:p>
        </c:txPr>
        <c:crossAx val="2243868"/>
        <c:crosses val="autoZero"/>
        <c:auto val="1"/>
        <c:lblOffset val="100"/>
        <c:tickLblSkip val="1"/>
        <c:noMultiLvlLbl val="0"/>
      </c:catAx>
      <c:valAx>
        <c:axId val="2243868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993366"/>
                </a:solidFill>
              </a:defRPr>
            </a:pPr>
          </a:p>
        </c:txPr>
        <c:crossAx val="11812851"/>
        <c:crossesAt val="1"/>
        <c:crossBetween val="between"/>
        <c:dispUnits/>
      </c:valAx>
      <c:catAx>
        <c:axId val="60791613"/>
        <c:scaling>
          <c:orientation val="minMax"/>
        </c:scaling>
        <c:axPos val="b"/>
        <c:delete val="1"/>
        <c:majorTickMark val="out"/>
        <c:minorTickMark val="none"/>
        <c:tickLblPos val="nextTo"/>
        <c:crossAx val="42569878"/>
        <c:crosses val="autoZero"/>
        <c:auto val="1"/>
        <c:lblOffset val="100"/>
        <c:tickLblSkip val="1"/>
        <c:noMultiLvlLbl val="0"/>
      </c:catAx>
      <c:valAx>
        <c:axId val="4256987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993366"/>
                </a:solidFill>
              </a:defRPr>
            </a:pPr>
          </a:p>
        </c:txPr>
        <c:crossAx val="6079161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25"/>
          <c:y val="0.931"/>
          <c:w val="0.455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0275"/>
          <c:w val="0.9222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'[3]Inflation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numRef>
              <c:f>'[3]Inflation CPIX -NCPI'!$B$22:$B$34</c:f>
              <c:numCache>
                <c:ptCount val="13"/>
                <c:pt idx="0">
                  <c:v>38898</c:v>
                </c:pt>
                <c:pt idx="1">
                  <c:v>38929</c:v>
                </c:pt>
                <c:pt idx="2">
                  <c:v>38960</c:v>
                </c:pt>
                <c:pt idx="3">
                  <c:v>38990</c:v>
                </c:pt>
                <c:pt idx="4">
                  <c:v>39021</c:v>
                </c:pt>
                <c:pt idx="5">
                  <c:v>39051</c:v>
                </c:pt>
                <c:pt idx="6">
                  <c:v>39082</c:v>
                </c:pt>
                <c:pt idx="7">
                  <c:v>39113</c:v>
                </c:pt>
                <c:pt idx="8">
                  <c:v>39141</c:v>
                </c:pt>
                <c:pt idx="9">
                  <c:v>39142</c:v>
                </c:pt>
                <c:pt idx="10">
                  <c:v>39174</c:v>
                </c:pt>
                <c:pt idx="11">
                  <c:v>39205</c:v>
                </c:pt>
                <c:pt idx="12">
                  <c:v>39237</c:v>
                </c:pt>
              </c:numCache>
            </c:numRef>
          </c:cat>
          <c:val>
            <c:numRef>
              <c:f>'[3]Inflation CPIX -NCPI'!$C$22:$C$34</c:f>
              <c:numCache>
                <c:ptCount val="13"/>
                <c:pt idx="0">
                  <c:v>4.8</c:v>
                </c:pt>
                <c:pt idx="1">
                  <c:v>4.9</c:v>
                </c:pt>
                <c:pt idx="2">
                  <c:v>5</c:v>
                </c:pt>
                <c:pt idx="3">
                  <c:v>5.1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5.3</c:v>
                </c:pt>
                <c:pt idx="8">
                  <c:v>4.9</c:v>
                </c:pt>
                <c:pt idx="9">
                  <c:v>5.5</c:v>
                </c:pt>
                <c:pt idx="10">
                  <c:v>6.3</c:v>
                </c:pt>
                <c:pt idx="11">
                  <c:v>6.4</c:v>
                </c:pt>
                <c:pt idx="12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numRef>
              <c:f>'[3]Inflation CPIX -NCPI'!$B$22:$B$34</c:f>
              <c:numCache>
                <c:ptCount val="13"/>
                <c:pt idx="0">
                  <c:v>38898</c:v>
                </c:pt>
                <c:pt idx="1">
                  <c:v>38929</c:v>
                </c:pt>
                <c:pt idx="2">
                  <c:v>38960</c:v>
                </c:pt>
                <c:pt idx="3">
                  <c:v>38990</c:v>
                </c:pt>
                <c:pt idx="4">
                  <c:v>39021</c:v>
                </c:pt>
                <c:pt idx="5">
                  <c:v>39051</c:v>
                </c:pt>
                <c:pt idx="6">
                  <c:v>39082</c:v>
                </c:pt>
                <c:pt idx="7">
                  <c:v>39113</c:v>
                </c:pt>
                <c:pt idx="8">
                  <c:v>39141</c:v>
                </c:pt>
                <c:pt idx="9">
                  <c:v>39142</c:v>
                </c:pt>
                <c:pt idx="10">
                  <c:v>39174</c:v>
                </c:pt>
                <c:pt idx="11">
                  <c:v>39205</c:v>
                </c:pt>
                <c:pt idx="12">
                  <c:v>39237</c:v>
                </c:pt>
              </c:numCache>
            </c:numRef>
          </c:cat>
          <c:val>
            <c:numRef>
              <c:f>'[3]Inflation CPIX -NCPI'!$D$22:$D$34</c:f>
              <c:numCache>
                <c:ptCount val="13"/>
                <c:pt idx="0">
                  <c:v>5.3</c:v>
                </c:pt>
                <c:pt idx="1">
                  <c:v>5.1</c:v>
                </c:pt>
                <c:pt idx="2">
                  <c:v>5.4</c:v>
                </c:pt>
                <c:pt idx="3">
                  <c:v>5.5</c:v>
                </c:pt>
                <c:pt idx="4">
                  <c:v>5.8</c:v>
                </c:pt>
                <c:pt idx="5">
                  <c:v>6.1</c:v>
                </c:pt>
                <c:pt idx="6">
                  <c:v>6.1</c:v>
                </c:pt>
                <c:pt idx="7">
                  <c:v>6</c:v>
                </c:pt>
                <c:pt idx="8">
                  <c:v>6</c:v>
                </c:pt>
                <c:pt idx="9">
                  <c:v>6.3</c:v>
                </c:pt>
                <c:pt idx="10">
                  <c:v>6.9</c:v>
                </c:pt>
                <c:pt idx="11">
                  <c:v>7.1</c:v>
                </c:pt>
                <c:pt idx="12">
                  <c:v>7</c:v>
                </c:pt>
              </c:numCache>
            </c:numRef>
          </c:val>
          <c:smooth val="0"/>
        </c:ser>
        <c:marker val="1"/>
        <c:axId val="10563943"/>
        <c:axId val="65273840"/>
      </c:lineChart>
      <c:catAx>
        <c:axId val="1056394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575" b="0" i="0" u="none" baseline="0">
                <a:solidFill>
                  <a:srgbClr val="800000"/>
                </a:solidFill>
              </a:defRPr>
            </a:pPr>
          </a:p>
        </c:txPr>
        <c:crossAx val="65273840"/>
        <c:crosses val="autoZero"/>
        <c:auto val="1"/>
        <c:lblOffset val="100"/>
        <c:tickLblSkip val="1"/>
        <c:noMultiLvlLbl val="0"/>
      </c:catAx>
      <c:valAx>
        <c:axId val="65273840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</a:defRPr>
            </a:pPr>
          </a:p>
        </c:txPr>
        <c:crossAx val="10563943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23"/>
          <c:w val="0.431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925"/>
          <c:w val="0.954"/>
          <c:h val="0.960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'S5'!$AQ$4:$BC$4</c:f>
              <c:strCache>
                <c:ptCount val="13"/>
                <c:pt idx="0">
                  <c:v>38869</c:v>
                </c:pt>
                <c:pt idx="1">
                  <c:v>38929</c:v>
                </c:pt>
                <c:pt idx="2">
                  <c:v>38960</c:v>
                </c:pt>
                <c:pt idx="3">
                  <c:v>38990</c:v>
                </c:pt>
                <c:pt idx="4">
                  <c:v>39021</c:v>
                </c:pt>
                <c:pt idx="5">
                  <c:v>39051</c:v>
                </c:pt>
                <c:pt idx="6">
                  <c:v>39082</c:v>
                </c:pt>
                <c:pt idx="7">
                  <c:v>39113</c:v>
                </c:pt>
                <c:pt idx="8">
                  <c:v>39141</c:v>
                </c:pt>
                <c:pt idx="9">
                  <c:v>39172</c:v>
                </c:pt>
                <c:pt idx="10">
                  <c:v>39202</c:v>
                </c:pt>
                <c:pt idx="11">
                  <c:v>39233</c:v>
                </c:pt>
                <c:pt idx="12">
                  <c:v>39263</c:v>
                </c:pt>
              </c:strCache>
            </c:strRef>
          </c:cat>
          <c:val>
            <c:numRef>
              <c:f>'S5'!$AQ$13:$BC$13</c:f>
              <c:numCache>
                <c:ptCount val="13"/>
                <c:pt idx="0">
                  <c:v>0.14378351953299112</c:v>
                </c:pt>
                <c:pt idx="1">
                  <c:v>0.14115720678119223</c:v>
                </c:pt>
                <c:pt idx="2">
                  <c:v>0.14377525052837403</c:v>
                </c:pt>
                <c:pt idx="3">
                  <c:v>0.1349564090798672</c:v>
                </c:pt>
                <c:pt idx="4">
                  <c:v>0.13073262563405322</c:v>
                </c:pt>
                <c:pt idx="5">
                  <c:v>0.1377676135893974</c:v>
                </c:pt>
                <c:pt idx="6">
                  <c:v>0.14203334943044627</c:v>
                </c:pt>
                <c:pt idx="7">
                  <c:v>0.13920209359948774</c:v>
                </c:pt>
                <c:pt idx="8">
                  <c:v>0.13947390443248067</c:v>
                </c:pt>
                <c:pt idx="9">
                  <c:v>0.13602851157602633</c:v>
                </c:pt>
                <c:pt idx="10">
                  <c:v>0.14041788362165805</c:v>
                </c:pt>
                <c:pt idx="11">
                  <c:v>0.14247652699217803</c:v>
                </c:pt>
                <c:pt idx="12">
                  <c:v>0.13943500934214562</c:v>
                </c:pt>
              </c:numCache>
            </c:numRef>
          </c:val>
          <c:smooth val="0"/>
        </c:ser>
        <c:marker val="1"/>
        <c:axId val="29621361"/>
        <c:axId val="10695978"/>
      </c:lineChart>
      <c:dateAx>
        <c:axId val="29621361"/>
        <c:scaling>
          <c:orientation val="minMax"/>
          <c:max val="3923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575" b="0" i="0" u="none" baseline="0">
                <a:solidFill>
                  <a:srgbClr val="800000"/>
                </a:solidFill>
              </a:defRPr>
            </a:pPr>
          </a:p>
        </c:txPr>
        <c:crossAx val="10695978"/>
        <c:crossesAt val="0.089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0695978"/>
        <c:scaling>
          <c:orientation val="minMax"/>
          <c:max val="0.15"/>
          <c:min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800000"/>
                </a:solidFill>
              </a:defRPr>
            </a:pPr>
          </a:p>
        </c:txPr>
        <c:crossAx val="29621361"/>
        <c:crossesAt val="1"/>
        <c:crossBetween val="between"/>
        <c:dispUnits/>
        <c:majorUnit val="0.007"/>
        <c:minorUnit val="0.007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0875"/>
          <c:w val="0.956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chart'!$AR$2:$BD$2</c:f>
              <c:numCache>
                <c:ptCount val="13"/>
                <c:pt idx="0">
                  <c:v>38898</c:v>
                </c:pt>
                <c:pt idx="1">
                  <c:v>38929</c:v>
                </c:pt>
                <c:pt idx="2">
                  <c:v>38960</c:v>
                </c:pt>
                <c:pt idx="3">
                  <c:v>38990</c:v>
                </c:pt>
                <c:pt idx="4">
                  <c:v>39021</c:v>
                </c:pt>
                <c:pt idx="5">
                  <c:v>39051</c:v>
                </c:pt>
                <c:pt idx="6">
                  <c:v>39082</c:v>
                </c:pt>
                <c:pt idx="7">
                  <c:v>39113</c:v>
                </c:pt>
                <c:pt idx="8">
                  <c:v>39141</c:v>
                </c:pt>
                <c:pt idx="9">
                  <c:v>39172</c:v>
                </c:pt>
                <c:pt idx="10">
                  <c:v>39202</c:v>
                </c:pt>
                <c:pt idx="11">
                  <c:v>39233</c:v>
                </c:pt>
                <c:pt idx="12">
                  <c:v>39263</c:v>
                </c:pt>
              </c:numCache>
            </c:numRef>
          </c:cat>
          <c:val>
            <c:numRef>
              <c:f>'[2]Int reser chart'!$AR$3:$BD$3</c:f>
              <c:numCache>
                <c:ptCount val="13"/>
                <c:pt idx="0">
                  <c:v>2677.9226340200003</c:v>
                </c:pt>
                <c:pt idx="1">
                  <c:v>3313.1347334800002</c:v>
                </c:pt>
                <c:pt idx="2">
                  <c:v>2760.7403289100002</c:v>
                </c:pt>
                <c:pt idx="3">
                  <c:v>3119.24184594</c:v>
                </c:pt>
                <c:pt idx="4">
                  <c:v>4104.408667917</c:v>
                </c:pt>
                <c:pt idx="5">
                  <c:v>3495.223781143</c:v>
                </c:pt>
                <c:pt idx="6">
                  <c:v>3164.29667116</c:v>
                </c:pt>
                <c:pt idx="7">
                  <c:v>4865.564786686</c:v>
                </c:pt>
                <c:pt idx="8">
                  <c:v>4466.368215629998</c:v>
                </c:pt>
                <c:pt idx="9">
                  <c:v>5690.014632319999</c:v>
                </c:pt>
                <c:pt idx="10">
                  <c:v>6260.11796704</c:v>
                </c:pt>
                <c:pt idx="11">
                  <c:v>5643.79369454</c:v>
                </c:pt>
                <c:pt idx="12">
                  <c:v>6085.291314379998</c:v>
                </c:pt>
              </c:numCache>
            </c:numRef>
          </c:val>
        </c:ser>
        <c:axId val="5690971"/>
        <c:axId val="55949892"/>
      </c:barChart>
      <c:dateAx>
        <c:axId val="569097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0" i="0" u="none" baseline="0">
                <a:solidFill>
                  <a:srgbClr val="800000"/>
                </a:solidFill>
              </a:defRPr>
            </a:pPr>
          </a:p>
        </c:txPr>
        <c:crossAx val="55949892"/>
        <c:crosses val="autoZero"/>
        <c:auto val="0"/>
        <c:noMultiLvlLbl val="0"/>
      </c:dateAx>
      <c:valAx>
        <c:axId val="55949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800000"/>
                </a:solidFill>
              </a:defRPr>
            </a:pPr>
          </a:p>
        </c:txPr>
        <c:crossAx val="5690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335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409575</xdr:colOff>
      <xdr:row>19</xdr:row>
      <xdr:rowOff>161925</xdr:rowOff>
    </xdr:to>
    <xdr:graphicFrame>
      <xdr:nvGraphicFramePr>
        <xdr:cNvPr id="1" name="Chart 145"/>
        <xdr:cNvGraphicFramePr/>
      </xdr:nvGraphicFramePr>
      <xdr:xfrm>
        <a:off x="619125" y="542925"/>
        <a:ext cx="7219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12</xdr:col>
      <xdr:colOff>428625</xdr:colOff>
      <xdr:row>46</xdr:row>
      <xdr:rowOff>38100</xdr:rowOff>
    </xdr:to>
    <xdr:graphicFrame>
      <xdr:nvGraphicFramePr>
        <xdr:cNvPr id="2" name="Chart 146"/>
        <xdr:cNvGraphicFramePr/>
      </xdr:nvGraphicFramePr>
      <xdr:xfrm>
        <a:off x="619125" y="5172075"/>
        <a:ext cx="72390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335"/>
        <xdr:cNvGraphicFramePr/>
      </xdr:nvGraphicFramePr>
      <xdr:xfrm>
        <a:off x="609600" y="752475"/>
        <a:ext cx="8934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30</xdr:row>
      <xdr:rowOff>0</xdr:rowOff>
    </xdr:from>
    <xdr:to>
      <xdr:col>16</xdr:col>
      <xdr:colOff>476250</xdr:colOff>
      <xdr:row>50</xdr:row>
      <xdr:rowOff>142875</xdr:rowOff>
    </xdr:to>
    <xdr:graphicFrame>
      <xdr:nvGraphicFramePr>
        <xdr:cNvPr id="2" name="Chart 336"/>
        <xdr:cNvGraphicFramePr/>
      </xdr:nvGraphicFramePr>
      <xdr:xfrm>
        <a:off x="609600" y="5753100"/>
        <a:ext cx="90106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58</xdr:row>
      <xdr:rowOff>0</xdr:rowOff>
    </xdr:from>
    <xdr:to>
      <xdr:col>16</xdr:col>
      <xdr:colOff>314325</xdr:colOff>
      <xdr:row>77</xdr:row>
      <xdr:rowOff>152400</xdr:rowOff>
    </xdr:to>
    <xdr:graphicFrame>
      <xdr:nvGraphicFramePr>
        <xdr:cNvPr id="3" name="Chart 337"/>
        <xdr:cNvGraphicFramePr/>
      </xdr:nvGraphicFramePr>
      <xdr:xfrm>
        <a:off x="609600" y="11106150"/>
        <a:ext cx="88487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41</xdr:row>
      <xdr:rowOff>133350</xdr:rowOff>
    </xdr:from>
    <xdr:to>
      <xdr:col>15</xdr:col>
      <xdr:colOff>257175</xdr:colOff>
      <xdr:row>72</xdr:row>
      <xdr:rowOff>0</xdr:rowOff>
    </xdr:to>
    <xdr:graphicFrame>
      <xdr:nvGraphicFramePr>
        <xdr:cNvPr id="1" name="Chart 9"/>
        <xdr:cNvGraphicFramePr/>
      </xdr:nvGraphicFramePr>
      <xdr:xfrm>
        <a:off x="581025" y="6848475"/>
        <a:ext cx="87915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15</xdr:col>
      <xdr:colOff>133350</xdr:colOff>
      <xdr:row>32</xdr:row>
      <xdr:rowOff>142875</xdr:rowOff>
    </xdr:to>
    <xdr:graphicFrame>
      <xdr:nvGraphicFramePr>
        <xdr:cNvPr id="2" name="Chart 49"/>
        <xdr:cNvGraphicFramePr/>
      </xdr:nvGraphicFramePr>
      <xdr:xfrm>
        <a:off x="609600" y="847725"/>
        <a:ext cx="863917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AQ7">
            <v>38898</v>
          </cell>
          <cell r="AR7">
            <v>38929</v>
          </cell>
          <cell r="AS7">
            <v>38960</v>
          </cell>
          <cell r="AT7">
            <v>38990</v>
          </cell>
          <cell r="AU7">
            <v>39021</v>
          </cell>
          <cell r="AV7">
            <v>39051</v>
          </cell>
          <cell r="AW7">
            <v>39082</v>
          </cell>
          <cell r="AX7">
            <v>39113</v>
          </cell>
          <cell r="AY7">
            <v>39141</v>
          </cell>
          <cell r="AZ7">
            <v>39172</v>
          </cell>
          <cell r="BA7">
            <v>39202</v>
          </cell>
          <cell r="BB7">
            <v>39233</v>
          </cell>
          <cell r="BC7">
            <v>39263</v>
          </cell>
        </row>
        <row r="8">
          <cell r="AQ8">
            <v>4.218696831444213</v>
          </cell>
          <cell r="AR8">
            <v>2.064092169580869</v>
          </cell>
          <cell r="AS8">
            <v>-1.6380485020217113</v>
          </cell>
          <cell r="AT8">
            <v>4.277929218815961</v>
          </cell>
          <cell r="AU8">
            <v>3.375699863912038</v>
          </cell>
          <cell r="AV8">
            <v>1.7061921582027462</v>
          </cell>
          <cell r="AW8">
            <v>-0.34170916060395856</v>
          </cell>
          <cell r="AX8">
            <v>3.1247813249456087</v>
          </cell>
          <cell r="AY8">
            <v>-0.8175012350289527</v>
          </cell>
          <cell r="AZ8">
            <v>-2.0163592435092164</v>
          </cell>
          <cell r="BA8">
            <v>2.124264004786151</v>
          </cell>
          <cell r="BB8">
            <v>1.8639134323938458</v>
          </cell>
          <cell r="BC8">
            <v>-4.265278640754327</v>
          </cell>
        </row>
        <row r="9">
          <cell r="AQ9">
            <v>1.5601745047783908</v>
          </cell>
          <cell r="AR9">
            <v>3.1219530629032963</v>
          </cell>
          <cell r="AS9">
            <v>-1.2778560719822774</v>
          </cell>
          <cell r="AT9">
            <v>4.381616536762638</v>
          </cell>
          <cell r="AU9">
            <v>11.541825685977763</v>
          </cell>
          <cell r="AV9">
            <v>-0.570174384078555</v>
          </cell>
          <cell r="AW9">
            <v>-3.8684085489309523</v>
          </cell>
          <cell r="AX9">
            <v>6.0581762262908185</v>
          </cell>
          <cell r="AY9">
            <v>0.8055996711286546</v>
          </cell>
          <cell r="AZ9">
            <v>1.2216558177303205</v>
          </cell>
          <cell r="BA9">
            <v>0.2938067770753827</v>
          </cell>
          <cell r="BB9">
            <v>0.41015757279167386</v>
          </cell>
          <cell r="BC9">
            <v>-10.514576369690575</v>
          </cell>
        </row>
      </sheetData>
      <sheetData sheetId="8">
        <row r="2">
          <cell r="AR2">
            <v>38898</v>
          </cell>
          <cell r="AS2">
            <v>38929</v>
          </cell>
          <cell r="AT2">
            <v>38960</v>
          </cell>
          <cell r="AU2">
            <v>38990</v>
          </cell>
          <cell r="AV2">
            <v>39021</v>
          </cell>
          <cell r="AW2">
            <v>39051</v>
          </cell>
          <cell r="AX2">
            <v>39082</v>
          </cell>
          <cell r="AY2">
            <v>39113</v>
          </cell>
          <cell r="AZ2">
            <v>39141</v>
          </cell>
          <cell r="BA2">
            <v>39172</v>
          </cell>
          <cell r="BB2">
            <v>39202</v>
          </cell>
          <cell r="BC2">
            <v>39233</v>
          </cell>
          <cell r="BD2">
            <v>39263</v>
          </cell>
        </row>
        <row r="3">
          <cell r="AR3">
            <v>2677.9226340200003</v>
          </cell>
          <cell r="AS3">
            <v>3313.1347334800002</v>
          </cell>
          <cell r="AT3">
            <v>2760.7403289100002</v>
          </cell>
          <cell r="AU3">
            <v>3119.24184594</v>
          </cell>
          <cell r="AV3">
            <v>4104.408667917</v>
          </cell>
          <cell r="AW3">
            <v>3495.223781143</v>
          </cell>
          <cell r="AX3">
            <v>3164.29667116</v>
          </cell>
          <cell r="AY3">
            <v>4865.564786686</v>
          </cell>
          <cell r="AZ3">
            <v>4466.368215629998</v>
          </cell>
          <cell r="BA3">
            <v>5690.014632319999</v>
          </cell>
          <cell r="BB3">
            <v>6260.11796704</v>
          </cell>
          <cell r="BC3">
            <v>5643.79369454</v>
          </cell>
          <cell r="BD3">
            <v>6085.291314379998</v>
          </cell>
        </row>
      </sheetData>
      <sheetData sheetId="9">
        <row r="10">
          <cell r="AP10">
            <v>38898</v>
          </cell>
          <cell r="AQ10">
            <v>38929</v>
          </cell>
          <cell r="AR10">
            <v>38960</v>
          </cell>
          <cell r="AS10">
            <v>38990</v>
          </cell>
          <cell r="AT10">
            <v>39021</v>
          </cell>
          <cell r="AU10">
            <v>39051</v>
          </cell>
          <cell r="AV10">
            <v>39082</v>
          </cell>
          <cell r="AW10">
            <v>39113</v>
          </cell>
          <cell r="AX10">
            <v>39141</v>
          </cell>
          <cell r="AY10">
            <v>39172</v>
          </cell>
          <cell r="AZ10">
            <v>39202</v>
          </cell>
          <cell r="BA10">
            <v>39233</v>
          </cell>
          <cell r="BB10">
            <v>39263</v>
          </cell>
        </row>
        <row r="11">
          <cell r="B11" t="str">
            <v>Dom claims</v>
          </cell>
          <cell r="AP11">
            <v>2.6579112339420976</v>
          </cell>
          <cell r="AQ11">
            <v>-1.7217054446794489</v>
          </cell>
          <cell r="AR11">
            <v>2.56009021400702</v>
          </cell>
          <cell r="AS11">
            <v>0.20969565247536456</v>
          </cell>
          <cell r="AT11">
            <v>-1.5314771320431253</v>
          </cell>
          <cell r="AU11">
            <v>2.9984069201778913</v>
          </cell>
          <cell r="AV11">
            <v>0.2131848422549674</v>
          </cell>
          <cell r="AW11">
            <v>-6.01361231956756</v>
          </cell>
          <cell r="AX11">
            <v>3.468989134525586</v>
          </cell>
          <cell r="AY11">
            <v>-1.1060404066356289</v>
          </cell>
          <cell r="AZ11">
            <v>-2.5080256273845984</v>
          </cell>
          <cell r="BA11">
            <v>3.6996475995276263</v>
          </cell>
          <cell r="BB11">
            <v>0.6628882707765882</v>
          </cell>
        </row>
        <row r="12">
          <cell r="B12" t="str">
            <v>Other Sectors Claims</v>
          </cell>
          <cell r="AP12">
            <v>0.5301595046702494</v>
          </cell>
          <cell r="AQ12">
            <v>2.723141408263861</v>
          </cell>
          <cell r="AR12">
            <v>0.25593587875896684</v>
          </cell>
          <cell r="AS12">
            <v>0.057520487008683195</v>
          </cell>
          <cell r="AT12">
            <v>1.4821953880777343</v>
          </cell>
          <cell r="AU12">
            <v>0.15550027153967988</v>
          </cell>
          <cell r="AV12">
            <v>0.6583832117324644</v>
          </cell>
          <cell r="AW12">
            <v>2.5491633077906704</v>
          </cell>
          <cell r="AX12">
            <v>1.43400578490035</v>
          </cell>
          <cell r="AY12">
            <v>0.775029504938087</v>
          </cell>
          <cell r="AZ12">
            <v>0.4128579839358425</v>
          </cell>
          <cell r="BA12">
            <v>0.13441753430499181</v>
          </cell>
          <cell r="BB12">
            <v>1.6600517682014835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22">
          <cell r="B22">
            <v>38898</v>
          </cell>
          <cell r="C22">
            <v>4.8</v>
          </cell>
          <cell r="D22">
            <v>5.3</v>
          </cell>
        </row>
        <row r="23">
          <cell r="B23">
            <v>38929</v>
          </cell>
          <cell r="C23">
            <v>4.9</v>
          </cell>
          <cell r="D23">
            <v>5.1</v>
          </cell>
        </row>
        <row r="24">
          <cell r="B24">
            <v>38960</v>
          </cell>
          <cell r="C24">
            <v>5</v>
          </cell>
          <cell r="D24">
            <v>5.4</v>
          </cell>
        </row>
        <row r="25">
          <cell r="B25">
            <v>38990</v>
          </cell>
          <cell r="C25">
            <v>5.1</v>
          </cell>
          <cell r="D25">
            <v>5.5</v>
          </cell>
        </row>
        <row r="26">
          <cell r="B26">
            <v>39021</v>
          </cell>
          <cell r="C26">
            <v>5</v>
          </cell>
          <cell r="D26">
            <v>5.8</v>
          </cell>
        </row>
        <row r="27">
          <cell r="B27">
            <v>39051</v>
          </cell>
          <cell r="C27">
            <v>5</v>
          </cell>
          <cell r="D27">
            <v>6.1</v>
          </cell>
        </row>
        <row r="28">
          <cell r="B28">
            <v>39082</v>
          </cell>
          <cell r="C28">
            <v>5</v>
          </cell>
          <cell r="D28">
            <v>6.1</v>
          </cell>
        </row>
        <row r="29">
          <cell r="B29">
            <v>39113</v>
          </cell>
          <cell r="C29">
            <v>5.3</v>
          </cell>
          <cell r="D29">
            <v>6</v>
          </cell>
        </row>
        <row r="30">
          <cell r="B30">
            <v>39141</v>
          </cell>
          <cell r="C30">
            <v>4.9</v>
          </cell>
          <cell r="D30">
            <v>6</v>
          </cell>
        </row>
        <row r="31">
          <cell r="B31">
            <v>39142</v>
          </cell>
          <cell r="C31">
            <v>5.5</v>
          </cell>
          <cell r="D31">
            <v>6.3</v>
          </cell>
        </row>
        <row r="32">
          <cell r="B32">
            <v>39174</v>
          </cell>
          <cell r="C32">
            <v>6.3</v>
          </cell>
          <cell r="D32">
            <v>6.9</v>
          </cell>
        </row>
        <row r="33">
          <cell r="B33">
            <v>39205</v>
          </cell>
          <cell r="C33">
            <v>6.4</v>
          </cell>
          <cell r="D33">
            <v>7.1</v>
          </cell>
        </row>
        <row r="34">
          <cell r="B34">
            <v>39237</v>
          </cell>
          <cell r="C34">
            <v>6.4</v>
          </cell>
          <cell r="D34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94">
          <cell r="D194">
            <v>38870</v>
          </cell>
          <cell r="F194">
            <v>7.5</v>
          </cell>
          <cell r="K194">
            <v>6.24</v>
          </cell>
          <cell r="L194">
            <v>10.61</v>
          </cell>
        </row>
        <row r="195">
          <cell r="D195">
            <v>38900</v>
          </cell>
          <cell r="F195">
            <v>7.5</v>
          </cell>
          <cell r="K195">
            <v>6.18</v>
          </cell>
          <cell r="L195">
            <v>10.93</v>
          </cell>
        </row>
        <row r="196">
          <cell r="D196">
            <v>38931</v>
          </cell>
          <cell r="F196">
            <v>8</v>
          </cell>
          <cell r="K196">
            <v>6.34</v>
          </cell>
          <cell r="L196">
            <v>11.01</v>
          </cell>
        </row>
        <row r="197">
          <cell r="D197">
            <v>38962</v>
          </cell>
          <cell r="F197">
            <v>8</v>
          </cell>
          <cell r="K197">
            <v>6.22</v>
          </cell>
          <cell r="L197">
            <v>11.71</v>
          </cell>
        </row>
        <row r="198">
          <cell r="D198">
            <v>38992</v>
          </cell>
          <cell r="F198">
            <v>8.5</v>
          </cell>
          <cell r="K198">
            <v>6.37</v>
          </cell>
          <cell r="L198">
            <v>11.97</v>
          </cell>
        </row>
        <row r="199">
          <cell r="D199">
            <v>39023</v>
          </cell>
          <cell r="F199">
            <v>8.5</v>
          </cell>
          <cell r="K199">
            <v>6.64</v>
          </cell>
          <cell r="L199">
            <v>12.2</v>
          </cell>
        </row>
        <row r="200">
          <cell r="D200">
            <v>39053</v>
          </cell>
          <cell r="F200">
            <v>9</v>
          </cell>
          <cell r="K200">
            <v>6.85</v>
          </cell>
          <cell r="L200">
            <v>12.43</v>
          </cell>
        </row>
        <row r="201">
          <cell r="D201">
            <v>39084</v>
          </cell>
          <cell r="F201">
            <v>9</v>
          </cell>
          <cell r="K201">
            <v>6.98</v>
          </cell>
          <cell r="L201">
            <v>12.63</v>
          </cell>
        </row>
        <row r="202">
          <cell r="D202">
            <v>39115</v>
          </cell>
          <cell r="F202">
            <v>9</v>
          </cell>
          <cell r="K202">
            <v>7.38</v>
          </cell>
          <cell r="L202">
            <v>12.32</v>
          </cell>
        </row>
        <row r="203">
          <cell r="D203">
            <v>39143</v>
          </cell>
          <cell r="F203">
            <v>9</v>
          </cell>
          <cell r="K203">
            <v>7.22</v>
          </cell>
          <cell r="L203">
            <v>11.9</v>
          </cell>
        </row>
        <row r="204">
          <cell r="D204">
            <v>39174</v>
          </cell>
          <cell r="F204">
            <v>9</v>
          </cell>
          <cell r="K204">
            <v>7.18</v>
          </cell>
          <cell r="L204">
            <v>12.44</v>
          </cell>
        </row>
        <row r="205">
          <cell r="D205">
            <v>39204</v>
          </cell>
          <cell r="F205">
            <v>9</v>
          </cell>
          <cell r="K205">
            <v>7.34</v>
          </cell>
          <cell r="L205">
            <v>12.65</v>
          </cell>
        </row>
        <row r="206">
          <cell r="D206">
            <v>39235</v>
          </cell>
          <cell r="F206">
            <v>9.5</v>
          </cell>
          <cell r="K206">
            <v>7.24</v>
          </cell>
          <cell r="L206">
            <v>12.22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28">
          <cell r="B128">
            <v>38869</v>
          </cell>
          <cell r="C128">
            <v>665.85</v>
          </cell>
          <cell r="D128">
            <v>80.95</v>
          </cell>
        </row>
        <row r="129">
          <cell r="B129">
            <v>38899</v>
          </cell>
          <cell r="C129">
            <v>688.72</v>
          </cell>
          <cell r="D129">
            <v>83.73</v>
          </cell>
        </row>
        <row r="130">
          <cell r="B130">
            <v>38960</v>
          </cell>
          <cell r="C130">
            <v>727.36</v>
          </cell>
          <cell r="D130">
            <v>82.05</v>
          </cell>
        </row>
        <row r="131">
          <cell r="B131">
            <v>38990</v>
          </cell>
          <cell r="C131">
            <v>754.36</v>
          </cell>
          <cell r="D131">
            <v>82.05</v>
          </cell>
        </row>
        <row r="132">
          <cell r="B132">
            <v>39021</v>
          </cell>
          <cell r="C132">
            <v>790.35</v>
          </cell>
          <cell r="D132">
            <v>86.01</v>
          </cell>
        </row>
        <row r="133">
          <cell r="B133">
            <v>39051</v>
          </cell>
          <cell r="C133">
            <v>792.6</v>
          </cell>
          <cell r="D133">
            <v>88.1</v>
          </cell>
        </row>
        <row r="134">
          <cell r="B134">
            <v>39082</v>
          </cell>
          <cell r="C134">
            <v>828</v>
          </cell>
          <cell r="D134">
            <v>91</v>
          </cell>
        </row>
        <row r="135">
          <cell r="B135">
            <v>39113</v>
          </cell>
          <cell r="C135">
            <v>838.25</v>
          </cell>
          <cell r="D135">
            <v>92.2</v>
          </cell>
        </row>
        <row r="136">
          <cell r="B136">
            <v>39141</v>
          </cell>
          <cell r="C136">
            <v>852.78</v>
          </cell>
          <cell r="D136">
            <v>94.25</v>
          </cell>
        </row>
        <row r="137">
          <cell r="B137">
            <v>39172</v>
          </cell>
          <cell r="C137">
            <v>911.26</v>
          </cell>
          <cell r="D137">
            <v>101.61</v>
          </cell>
        </row>
        <row r="138">
          <cell r="B138">
            <v>39202</v>
          </cell>
          <cell r="C138">
            <v>935</v>
          </cell>
          <cell r="D138">
            <v>101.61</v>
          </cell>
        </row>
        <row r="139">
          <cell r="B139">
            <v>39233</v>
          </cell>
          <cell r="C139">
            <v>977</v>
          </cell>
          <cell r="D139">
            <v>104</v>
          </cell>
        </row>
        <row r="140">
          <cell r="B140">
            <v>39263</v>
          </cell>
          <cell r="C140">
            <v>936</v>
          </cell>
          <cell r="D140">
            <v>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3">
      <selection activeCell="A1" sqref="A1:A20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142</v>
      </c>
    </row>
    <row r="2" ht="37.5">
      <c r="A2" s="27"/>
    </row>
    <row r="3" ht="37.5">
      <c r="A3" s="27"/>
    </row>
    <row r="4" ht="33">
      <c r="A4" s="28"/>
    </row>
    <row r="5" ht="37.5">
      <c r="A5" s="27"/>
    </row>
    <row r="6" ht="33">
      <c r="A6" s="28"/>
    </row>
    <row r="7" ht="37.5">
      <c r="A7" s="29"/>
    </row>
    <row r="8" ht="37.5">
      <c r="A8" s="29"/>
    </row>
    <row r="9" ht="33">
      <c r="A9" s="130"/>
    </row>
    <row r="11" ht="40.5">
      <c r="A11" s="30"/>
    </row>
    <row r="12" ht="40.5">
      <c r="A12" s="30"/>
    </row>
    <row r="13" ht="40.5">
      <c r="A13" s="30" t="s">
        <v>47</v>
      </c>
    </row>
    <row r="14" ht="40.5">
      <c r="A14" s="30"/>
    </row>
    <row r="15" ht="40.5">
      <c r="A15" s="30" t="s">
        <v>48</v>
      </c>
    </row>
    <row r="16" ht="40.5">
      <c r="A16" s="30"/>
    </row>
    <row r="17" ht="40.5">
      <c r="A17" s="30" t="s">
        <v>49</v>
      </c>
    </row>
    <row r="18" ht="40.5">
      <c r="A18" s="30"/>
    </row>
    <row r="19" ht="40.5">
      <c r="A19" s="32">
        <v>39263</v>
      </c>
    </row>
    <row r="20" ht="40.5">
      <c r="A20" s="31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L53"/>
  <sheetViews>
    <sheetView tabSelected="1" zoomScalePageLayoutView="0" workbookViewId="0" topLeftCell="A24">
      <selection activeCell="A1" sqref="A1:J54"/>
    </sheetView>
  </sheetViews>
  <sheetFormatPr defaultColWidth="9.140625" defaultRowHeight="12"/>
  <cols>
    <col min="2" max="2" width="48.00390625" style="0" customWidth="1"/>
    <col min="3" max="4" width="9.7109375" style="0" customWidth="1"/>
    <col min="5" max="5" width="11.140625" style="0" customWidth="1"/>
    <col min="6" max="6" width="9.421875" style="0" customWidth="1"/>
    <col min="7" max="7" width="8.421875" style="0" customWidth="1"/>
    <col min="8" max="8" width="9.28125" style="0" customWidth="1"/>
    <col min="9" max="9" width="9.140625" style="0" customWidth="1"/>
  </cols>
  <sheetData>
    <row r="1" ht="12" thickBot="1"/>
    <row r="2" spans="2:9" ht="11.25">
      <c r="B2" s="224" t="s">
        <v>110</v>
      </c>
      <c r="C2" s="225"/>
      <c r="D2" s="225"/>
      <c r="E2" s="225"/>
      <c r="F2" s="225"/>
      <c r="G2" s="225"/>
      <c r="H2" s="225"/>
      <c r="I2" s="226"/>
    </row>
    <row r="3" spans="2:9" ht="11.25">
      <c r="B3" s="188"/>
      <c r="C3" s="24"/>
      <c r="D3" s="24"/>
      <c r="E3" s="24"/>
      <c r="F3" s="218" t="s">
        <v>164</v>
      </c>
      <c r="G3" s="219"/>
      <c r="H3" s="218" t="s">
        <v>166</v>
      </c>
      <c r="I3" s="220"/>
    </row>
    <row r="4" spans="2:9" ht="11.25">
      <c r="B4" s="189"/>
      <c r="C4" s="12">
        <v>38896</v>
      </c>
      <c r="D4" s="12">
        <v>39232</v>
      </c>
      <c r="E4" s="12">
        <v>39263</v>
      </c>
      <c r="F4" s="12" t="s">
        <v>169</v>
      </c>
      <c r="G4" s="128" t="s">
        <v>167</v>
      </c>
      <c r="H4" s="128" t="s">
        <v>169</v>
      </c>
      <c r="I4" s="190" t="s">
        <v>167</v>
      </c>
    </row>
    <row r="5" spans="2:9" ht="11.25">
      <c r="B5" s="191"/>
      <c r="C5" s="37"/>
      <c r="D5" s="37"/>
      <c r="E5" s="37"/>
      <c r="F5" s="37"/>
      <c r="G5" s="38"/>
      <c r="H5" s="38"/>
      <c r="I5" s="192"/>
    </row>
    <row r="6" spans="2:12" ht="11.25">
      <c r="B6" s="193" t="s">
        <v>1</v>
      </c>
      <c r="C6" s="43">
        <v>1458.9743859700002</v>
      </c>
      <c r="D6" s="43">
        <v>8023.0365396430025</v>
      </c>
      <c r="E6" s="43">
        <v>6949.750272874107</v>
      </c>
      <c r="F6" s="43">
        <v>-1073.286266768895</v>
      </c>
      <c r="G6" s="43">
        <v>5490.775886904107</v>
      </c>
      <c r="H6" s="43">
        <v>-13.377556757539741</v>
      </c>
      <c r="I6" s="194">
        <v>376.34491322844997</v>
      </c>
      <c r="L6" s="68"/>
    </row>
    <row r="7" spans="2:9" ht="11.25">
      <c r="B7" s="193" t="s">
        <v>82</v>
      </c>
      <c r="C7" s="43">
        <v>27661.893977959997</v>
      </c>
      <c r="D7" s="43">
        <v>27610.325881250003</v>
      </c>
      <c r="E7" s="43">
        <v>27793.35149304</v>
      </c>
      <c r="F7" s="43">
        <v>183.02561178999895</v>
      </c>
      <c r="G7" s="138">
        <v>131.45751508000467</v>
      </c>
      <c r="H7" s="138">
        <v>0.6628882707765882</v>
      </c>
      <c r="I7" s="194">
        <v>0.4752296252192467</v>
      </c>
    </row>
    <row r="8" spans="2:9" ht="11.25">
      <c r="B8" s="195" t="s">
        <v>98</v>
      </c>
      <c r="C8" s="13">
        <v>610.4449210899998</v>
      </c>
      <c r="D8" s="13">
        <v>-2735.4917495599993</v>
      </c>
      <c r="E8" s="13">
        <v>-2892.46073869</v>
      </c>
      <c r="F8" s="13">
        <v>-156.96898913000086</v>
      </c>
      <c r="G8" s="139">
        <v>-3502.90565978</v>
      </c>
      <c r="H8" s="139">
        <v>5.738236613407778</v>
      </c>
      <c r="I8" s="196">
        <v>-573.82829126095</v>
      </c>
    </row>
    <row r="9" spans="2:9" ht="11.25">
      <c r="B9" s="195" t="s">
        <v>50</v>
      </c>
      <c r="C9" s="13">
        <v>27051.44905687</v>
      </c>
      <c r="D9" s="13">
        <v>30345.81763081</v>
      </c>
      <c r="E9" s="13">
        <v>30685.81223173</v>
      </c>
      <c r="F9" s="13">
        <v>339.99460091999936</v>
      </c>
      <c r="G9" s="139">
        <v>3634.363174860002</v>
      </c>
      <c r="H9" s="139">
        <v>1.1204001983284972</v>
      </c>
      <c r="I9" s="196">
        <v>13.435003674736667</v>
      </c>
    </row>
    <row r="10" spans="2:9" ht="11.25">
      <c r="B10" s="197" t="s">
        <v>100</v>
      </c>
      <c r="C10" s="13">
        <v>830.969</v>
      </c>
      <c r="D10" s="13">
        <v>1196.251</v>
      </c>
      <c r="E10" s="13">
        <v>1067.661</v>
      </c>
      <c r="F10" s="13">
        <v>-128.58999999999992</v>
      </c>
      <c r="G10" s="139">
        <v>236.692</v>
      </c>
      <c r="H10" s="139">
        <v>-10.749416301428374</v>
      </c>
      <c r="I10" s="196">
        <v>28.483854391680076</v>
      </c>
    </row>
    <row r="11" spans="2:9" ht="11.25">
      <c r="B11" s="197" t="s">
        <v>101</v>
      </c>
      <c r="C11" s="13">
        <v>24.952</v>
      </c>
      <c r="D11" s="13">
        <v>41.643</v>
      </c>
      <c r="E11" s="13">
        <v>27.021</v>
      </c>
      <c r="F11" s="13">
        <v>-14.622</v>
      </c>
      <c r="G11" s="139">
        <v>2.068999999999999</v>
      </c>
      <c r="H11" s="139">
        <v>-35.11274403861393</v>
      </c>
      <c r="I11" s="196">
        <v>8.29192048733568</v>
      </c>
    </row>
    <row r="12" spans="2:9" ht="11.25">
      <c r="B12" s="197" t="s">
        <v>102</v>
      </c>
      <c r="C12" s="13">
        <v>404.944</v>
      </c>
      <c r="D12" s="13">
        <v>322.858</v>
      </c>
      <c r="E12" s="13">
        <v>415.22499999999997</v>
      </c>
      <c r="F12" s="13">
        <v>92.36699999999996</v>
      </c>
      <c r="G12" s="139">
        <v>10.280999999999949</v>
      </c>
      <c r="H12" s="139">
        <v>28.60917183405707</v>
      </c>
      <c r="I12" s="196">
        <v>2.5388695720889674</v>
      </c>
    </row>
    <row r="13" spans="2:9" ht="11.25">
      <c r="B13" s="197" t="s">
        <v>103</v>
      </c>
      <c r="C13" s="13">
        <v>9033.559</v>
      </c>
      <c r="D13" s="13">
        <v>9666.327373450002</v>
      </c>
      <c r="E13" s="13">
        <v>9878.03873034</v>
      </c>
      <c r="F13" s="13">
        <v>211.71135688999857</v>
      </c>
      <c r="G13" s="139">
        <v>844.479730340001</v>
      </c>
      <c r="H13" s="139">
        <v>2.1901943593540514</v>
      </c>
      <c r="I13" s="196">
        <v>9.348250565917608</v>
      </c>
    </row>
    <row r="14" spans="2:12" ht="11.25">
      <c r="B14" s="197" t="s">
        <v>104</v>
      </c>
      <c r="C14" s="13">
        <v>16757.02505687</v>
      </c>
      <c r="D14" s="13">
        <v>19118.738257359997</v>
      </c>
      <c r="E14" s="13">
        <v>19297.86650139</v>
      </c>
      <c r="F14" s="13">
        <v>179.12824403000195</v>
      </c>
      <c r="G14" s="139">
        <v>2540.8414445199996</v>
      </c>
      <c r="H14" s="139">
        <v>0.936925029354614</v>
      </c>
      <c r="I14" s="196">
        <v>15.162843260643765</v>
      </c>
      <c r="J14" s="65"/>
      <c r="K14" s="65"/>
      <c r="L14" s="68"/>
    </row>
    <row r="15" spans="2:9" ht="11.25">
      <c r="B15" s="193" t="s">
        <v>45</v>
      </c>
      <c r="C15" s="13">
        <v>-8572.076399300002</v>
      </c>
      <c r="D15" s="13">
        <v>-12133.847715085196</v>
      </c>
      <c r="E15" s="13">
        <v>-12245.932053137112</v>
      </c>
      <c r="F15" s="13">
        <v>-112.08433805191635</v>
      </c>
      <c r="G15" s="139">
        <v>-3673.8556538371104</v>
      </c>
      <c r="H15" s="139">
        <v>0.9237328560879287</v>
      </c>
      <c r="I15" s="196">
        <v>42.858410059634075</v>
      </c>
    </row>
    <row r="16" spans="2:9" ht="12" thickBot="1">
      <c r="B16" s="198" t="s">
        <v>53</v>
      </c>
      <c r="C16" s="45">
        <v>20548.791964629992</v>
      </c>
      <c r="D16" s="45">
        <v>23499.514705807807</v>
      </c>
      <c r="E16" s="45">
        <v>22497.169712776995</v>
      </c>
      <c r="F16" s="45">
        <v>-1002.3449930308125</v>
      </c>
      <c r="G16" s="140">
        <v>1948.3777481470024</v>
      </c>
      <c r="H16" s="140">
        <v>-4.265385926387182</v>
      </c>
      <c r="I16" s="199">
        <v>9.481714309535496</v>
      </c>
    </row>
    <row r="17" spans="2:11" ht="12" thickBot="1">
      <c r="B17" s="46"/>
      <c r="C17" s="39"/>
      <c r="D17" s="39"/>
      <c r="E17" s="39"/>
      <c r="F17" s="39"/>
      <c r="G17" s="39"/>
      <c r="H17" s="39"/>
      <c r="I17" s="39"/>
      <c r="K17" s="65"/>
    </row>
    <row r="18" spans="2:9" ht="11.25">
      <c r="B18" s="221" t="s">
        <v>111</v>
      </c>
      <c r="C18" s="222"/>
      <c r="D18" s="222"/>
      <c r="E18" s="222"/>
      <c r="F18" s="222"/>
      <c r="G18" s="222"/>
      <c r="H18" s="222"/>
      <c r="I18" s="223"/>
    </row>
    <row r="19" spans="2:9" ht="11.25">
      <c r="B19" s="188"/>
      <c r="C19" s="24"/>
      <c r="D19" s="24"/>
      <c r="E19" s="24"/>
      <c r="F19" s="218" t="s">
        <v>164</v>
      </c>
      <c r="G19" s="219"/>
      <c r="H19" s="218" t="s">
        <v>168</v>
      </c>
      <c r="I19" s="220"/>
    </row>
    <row r="20" spans="2:9" ht="11.25">
      <c r="B20" s="189"/>
      <c r="C20" s="12">
        <v>38896</v>
      </c>
      <c r="D20" s="12">
        <v>39232</v>
      </c>
      <c r="E20" s="12">
        <v>39263</v>
      </c>
      <c r="F20" s="12" t="s">
        <v>169</v>
      </c>
      <c r="G20" s="128" t="s">
        <v>167</v>
      </c>
      <c r="H20" s="128" t="s">
        <v>169</v>
      </c>
      <c r="I20" s="190" t="s">
        <v>167</v>
      </c>
    </row>
    <row r="21" spans="2:9" ht="11.25">
      <c r="B21" s="200"/>
      <c r="C21" s="40"/>
      <c r="D21" s="40"/>
      <c r="E21" s="40"/>
      <c r="F21" s="40"/>
      <c r="G21" s="40"/>
      <c r="H21" s="40"/>
      <c r="I21" s="201"/>
    </row>
    <row r="22" spans="2:9" ht="11.25">
      <c r="B22" s="193" t="s">
        <v>53</v>
      </c>
      <c r="C22" s="43">
        <v>20548.81058127</v>
      </c>
      <c r="D22" s="43">
        <v>23499.54470648</v>
      </c>
      <c r="E22" s="43">
        <v>22497.223645439994</v>
      </c>
      <c r="F22" s="43">
        <v>-1002.3210610400056</v>
      </c>
      <c r="G22" s="43">
        <v>1948.4130641699921</v>
      </c>
      <c r="H22" s="43">
        <v>-4.265278640754327</v>
      </c>
      <c r="I22" s="194">
        <v>9.481877583444891</v>
      </c>
    </row>
    <row r="23" spans="2:10" ht="11.25">
      <c r="B23" s="195" t="s">
        <v>54</v>
      </c>
      <c r="C23" s="13">
        <v>726.73722225</v>
      </c>
      <c r="D23" s="13">
        <v>777.36882447</v>
      </c>
      <c r="E23" s="13">
        <v>814.52121255</v>
      </c>
      <c r="F23" s="13">
        <v>37.15238807999992</v>
      </c>
      <c r="G23" s="13">
        <v>87.78399030000003</v>
      </c>
      <c r="H23" s="13">
        <v>4.779248525348304</v>
      </c>
      <c r="I23" s="196">
        <v>12.079192810328085</v>
      </c>
      <c r="J23" s="65"/>
    </row>
    <row r="24" spans="2:9" ht="11.25">
      <c r="B24" s="195" t="s">
        <v>55</v>
      </c>
      <c r="C24" s="13">
        <v>11366.50959386</v>
      </c>
      <c r="D24" s="13">
        <v>14154.261028879999</v>
      </c>
      <c r="E24" s="13">
        <v>12547.111016629997</v>
      </c>
      <c r="F24" s="13">
        <v>-1607.150012250002</v>
      </c>
      <c r="G24" s="13">
        <v>1180.6014227699961</v>
      </c>
      <c r="H24" s="13">
        <v>-11.35453139496872</v>
      </c>
      <c r="I24" s="196">
        <v>10.38666631142191</v>
      </c>
    </row>
    <row r="25" spans="2:9" ht="11.25">
      <c r="B25" s="195" t="s">
        <v>56</v>
      </c>
      <c r="C25" s="13">
        <v>8446.030260270001</v>
      </c>
      <c r="D25" s="13">
        <v>8562.04685313</v>
      </c>
      <c r="E25" s="13">
        <v>9129.72341626</v>
      </c>
      <c r="F25" s="13">
        <v>567.6765631300004</v>
      </c>
      <c r="G25" s="13">
        <v>683.6931559899986</v>
      </c>
      <c r="H25" s="13">
        <v>6.630150159975787</v>
      </c>
      <c r="I25" s="196">
        <v>8.0948461575621</v>
      </c>
    </row>
    <row r="26" spans="2:9" ht="12" thickBot="1">
      <c r="B26" s="202" t="s">
        <v>152</v>
      </c>
      <c r="C26" s="203">
        <v>9.533504890000001</v>
      </c>
      <c r="D26" s="203">
        <v>5.868</v>
      </c>
      <c r="E26" s="203">
        <v>5.868</v>
      </c>
      <c r="F26" s="203">
        <v>0</v>
      </c>
      <c r="G26" s="203">
        <v>-3.665504890000001</v>
      </c>
      <c r="H26" s="203">
        <v>0</v>
      </c>
      <c r="I26" s="204">
        <v>-38.44866009189198</v>
      </c>
    </row>
    <row r="27" spans="2:9" ht="11.25">
      <c r="B27" s="48"/>
      <c r="C27" s="129"/>
      <c r="D27" s="129"/>
      <c r="E27" s="129"/>
      <c r="F27" s="129"/>
      <c r="G27" s="129"/>
      <c r="H27" s="129"/>
      <c r="I27" s="129"/>
    </row>
    <row r="28" spans="2:9" ht="11.25">
      <c r="B28" s="48"/>
      <c r="C28" s="26"/>
      <c r="D28" s="26"/>
      <c r="E28" s="26"/>
      <c r="F28" s="26"/>
      <c r="G28" s="26"/>
      <c r="H28" s="26"/>
      <c r="I28" s="26"/>
    </row>
    <row r="29" spans="2:9" ht="12" thickBot="1">
      <c r="B29" s="47"/>
      <c r="C29" s="39"/>
      <c r="D29" s="39"/>
      <c r="E29" s="39"/>
      <c r="F29" s="39"/>
      <c r="G29" s="39"/>
      <c r="H29" s="39"/>
      <c r="I29" s="39"/>
    </row>
    <row r="30" spans="2:9" ht="11.25">
      <c r="B30" s="221" t="s">
        <v>112</v>
      </c>
      <c r="C30" s="222"/>
      <c r="D30" s="222"/>
      <c r="E30" s="222"/>
      <c r="F30" s="222"/>
      <c r="G30" s="222"/>
      <c r="H30" s="222"/>
      <c r="I30" s="223"/>
    </row>
    <row r="31" spans="2:9" ht="11.25">
      <c r="B31" s="188"/>
      <c r="C31" s="24"/>
      <c r="D31" s="24"/>
      <c r="E31" s="24"/>
      <c r="F31" s="218" t="s">
        <v>163</v>
      </c>
      <c r="G31" s="219"/>
      <c r="H31" s="218" t="s">
        <v>166</v>
      </c>
      <c r="I31" s="220"/>
    </row>
    <row r="32" spans="2:9" ht="11.25">
      <c r="B32" s="189"/>
      <c r="C32" s="12">
        <v>38896</v>
      </c>
      <c r="D32" s="12">
        <v>39232</v>
      </c>
      <c r="E32" s="12">
        <v>39263</v>
      </c>
      <c r="F32" s="12" t="s">
        <v>169</v>
      </c>
      <c r="G32" s="128" t="s">
        <v>167</v>
      </c>
      <c r="H32" s="128" t="s">
        <v>169</v>
      </c>
      <c r="I32" s="190" t="s">
        <v>167</v>
      </c>
    </row>
    <row r="33" spans="2:9" ht="11.25">
      <c r="B33" s="205"/>
      <c r="C33" s="41"/>
      <c r="D33" s="215"/>
      <c r="E33" s="215"/>
      <c r="F33" s="41"/>
      <c r="G33" s="42"/>
      <c r="H33" s="42"/>
      <c r="I33" s="206"/>
    </row>
    <row r="34" spans="2:9" ht="11.25">
      <c r="B34" s="207" t="s">
        <v>113</v>
      </c>
      <c r="C34" s="141">
        <v>25741.88749525</v>
      </c>
      <c r="D34" s="216">
        <v>28801.83609281</v>
      </c>
      <c r="E34" s="216">
        <v>29191.3844528</v>
      </c>
      <c r="F34" s="141">
        <v>389.5483599899966</v>
      </c>
      <c r="G34" s="141">
        <v>3449.49695755</v>
      </c>
      <c r="H34" s="141">
        <v>1.3525122451733051</v>
      </c>
      <c r="I34" s="208">
        <v>13.400326445318026</v>
      </c>
    </row>
    <row r="35" spans="2:9" ht="11.25">
      <c r="B35" s="209" t="s">
        <v>51</v>
      </c>
      <c r="C35" s="142">
        <v>0</v>
      </c>
      <c r="D35" s="143">
        <v>0</v>
      </c>
      <c r="E35" s="143">
        <v>0</v>
      </c>
      <c r="F35" s="142">
        <v>0</v>
      </c>
      <c r="G35" s="142">
        <v>0</v>
      </c>
      <c r="H35" s="142">
        <v>0</v>
      </c>
      <c r="I35" s="210">
        <v>0</v>
      </c>
    </row>
    <row r="36" spans="2:9" ht="11.25">
      <c r="B36" s="209" t="s">
        <v>57</v>
      </c>
      <c r="C36" s="142">
        <v>8957.71</v>
      </c>
      <c r="D36" s="143">
        <v>9654.88037345</v>
      </c>
      <c r="E36" s="143">
        <v>9866.45073034</v>
      </c>
      <c r="F36" s="142">
        <v>211.57035689000077</v>
      </c>
      <c r="G36" s="142">
        <v>908.7407303400014</v>
      </c>
      <c r="H36" s="142">
        <v>2.191330691903745</v>
      </c>
      <c r="I36" s="210">
        <v>10.144788459773775</v>
      </c>
    </row>
    <row r="37" spans="2:9" ht="11.25">
      <c r="B37" s="211" t="s">
        <v>114</v>
      </c>
      <c r="C37" s="143">
        <v>7127.913</v>
      </c>
      <c r="D37" s="143">
        <v>7427.752341290001</v>
      </c>
      <c r="E37" s="143">
        <v>7686.542245680001</v>
      </c>
      <c r="F37" s="143">
        <v>258.7899043899997</v>
      </c>
      <c r="G37" s="142">
        <v>558.6292456800011</v>
      </c>
      <c r="H37" s="142">
        <v>3.4840944137490575</v>
      </c>
      <c r="I37" s="210">
        <v>7.837206285766972</v>
      </c>
    </row>
    <row r="38" spans="2:9" ht="11.25">
      <c r="B38" s="212" t="s">
        <v>115</v>
      </c>
      <c r="C38" s="124">
        <v>746.328</v>
      </c>
      <c r="D38" s="124">
        <v>1882.696</v>
      </c>
      <c r="E38" s="124">
        <v>1939.161</v>
      </c>
      <c r="F38" s="124">
        <v>56.465000000000146</v>
      </c>
      <c r="G38" s="142">
        <v>1192.833</v>
      </c>
      <c r="H38" s="142">
        <v>2.999156528722648</v>
      </c>
      <c r="I38" s="210">
        <v>159.8269125639129</v>
      </c>
    </row>
    <row r="39" spans="2:9" ht="11.25">
      <c r="B39" s="212" t="s">
        <v>116</v>
      </c>
      <c r="C39" s="124">
        <v>2538.889</v>
      </c>
      <c r="D39" s="124">
        <v>2225.98209601</v>
      </c>
      <c r="E39" s="124">
        <v>2472.4918991100003</v>
      </c>
      <c r="F39" s="124">
        <v>246.50980310000023</v>
      </c>
      <c r="G39" s="142">
        <v>-66.39710088999982</v>
      </c>
      <c r="H39" s="142">
        <v>11.074204214933308</v>
      </c>
      <c r="I39" s="210">
        <v>-2.6152029840611313</v>
      </c>
    </row>
    <row r="40" spans="2:9" ht="11.25">
      <c r="B40" s="212" t="s">
        <v>117</v>
      </c>
      <c r="C40" s="124">
        <v>3842.696</v>
      </c>
      <c r="D40" s="124">
        <v>3319.07424528</v>
      </c>
      <c r="E40" s="124">
        <v>3274.8893465700003</v>
      </c>
      <c r="F40" s="124">
        <v>-44.18489870999974</v>
      </c>
      <c r="G40" s="142">
        <v>-567.8066534299996</v>
      </c>
      <c r="H40" s="142">
        <v>-1.331241648867432</v>
      </c>
      <c r="I40" s="210">
        <v>-14.776257435664952</v>
      </c>
    </row>
    <row r="41" spans="2:9" ht="11.25">
      <c r="B41" s="211" t="s">
        <v>118</v>
      </c>
      <c r="C41" s="124">
        <v>1106.563</v>
      </c>
      <c r="D41" s="124">
        <v>1425.86374236</v>
      </c>
      <c r="E41" s="124">
        <v>1378.64822649</v>
      </c>
      <c r="F41" s="124">
        <v>-47.21551586999999</v>
      </c>
      <c r="G41" s="142">
        <v>272.08522648999997</v>
      </c>
      <c r="H41" s="142">
        <v>-3.3113624021220875</v>
      </c>
      <c r="I41" s="210">
        <v>24.58831774512612</v>
      </c>
    </row>
    <row r="42" spans="2:9" ht="11.25">
      <c r="B42" s="211" t="s">
        <v>119</v>
      </c>
      <c r="C42" s="124">
        <v>39.895</v>
      </c>
      <c r="D42" s="124">
        <v>41.388289799999995</v>
      </c>
      <c r="E42" s="124">
        <v>43.38525817</v>
      </c>
      <c r="F42" s="124">
        <v>1.9969683700000047</v>
      </c>
      <c r="G42" s="142">
        <v>3.490258169999997</v>
      </c>
      <c r="H42" s="142">
        <v>4.824959860989484</v>
      </c>
      <c r="I42" s="210">
        <v>8.748610527635034</v>
      </c>
    </row>
    <row r="43" spans="2:10" ht="11.25">
      <c r="B43" s="211" t="s">
        <v>120</v>
      </c>
      <c r="C43" s="124">
        <v>683.339</v>
      </c>
      <c r="D43" s="124">
        <v>759.876</v>
      </c>
      <c r="E43" s="124">
        <v>757.875</v>
      </c>
      <c r="F43" s="124">
        <v>-2.0009999999999764</v>
      </c>
      <c r="G43" s="142">
        <v>74.53599999999994</v>
      </c>
      <c r="H43" s="142">
        <v>-0.26333243845048093</v>
      </c>
      <c r="I43" s="210">
        <v>10.907616863665023</v>
      </c>
      <c r="J43" s="61"/>
    </row>
    <row r="44" spans="2:11" ht="11.25">
      <c r="B44" s="209" t="s">
        <v>89</v>
      </c>
      <c r="C44" s="125">
        <v>16738.58649525</v>
      </c>
      <c r="D44" s="125">
        <v>19102.74171936</v>
      </c>
      <c r="E44" s="125">
        <v>19280.676722459997</v>
      </c>
      <c r="F44" s="125">
        <v>177.9350030999958</v>
      </c>
      <c r="G44" s="142">
        <v>2542.0902272099956</v>
      </c>
      <c r="H44" s="142">
        <v>0.9314631675078585</v>
      </c>
      <c r="I44" s="210">
        <v>15.187006548798957</v>
      </c>
      <c r="J44" s="61"/>
      <c r="K44" s="61"/>
    </row>
    <row r="45" spans="2:9" ht="11.25">
      <c r="B45" s="211" t="s">
        <v>121</v>
      </c>
      <c r="C45" s="125">
        <v>13245.22549525</v>
      </c>
      <c r="D45" s="125">
        <v>15517.13588779</v>
      </c>
      <c r="E45" s="125">
        <v>15617.468116729999</v>
      </c>
      <c r="F45" s="125">
        <v>100.33222893999846</v>
      </c>
      <c r="G45" s="142">
        <v>2372.242621479998</v>
      </c>
      <c r="H45" s="142">
        <v>0.6465898711304519</v>
      </c>
      <c r="I45" s="210">
        <v>17.91017164887628</v>
      </c>
    </row>
    <row r="46" spans="2:9" ht="11.25">
      <c r="B46" s="212" t="s">
        <v>115</v>
      </c>
      <c r="C46" s="124">
        <v>10746.94384561</v>
      </c>
      <c r="D46" s="124">
        <v>12521.47012954</v>
      </c>
      <c r="E46" s="124">
        <v>12611.542678459999</v>
      </c>
      <c r="F46" s="124">
        <v>90.07254891999946</v>
      </c>
      <c r="G46" s="142">
        <v>1864.5988328499989</v>
      </c>
      <c r="H46" s="142">
        <v>0.7193448372128844</v>
      </c>
      <c r="I46" s="210">
        <v>17.350037923680652</v>
      </c>
    </row>
    <row r="47" spans="2:9" ht="11.25">
      <c r="B47" s="212" t="s">
        <v>122</v>
      </c>
      <c r="C47" s="124">
        <v>1368.2696496399997</v>
      </c>
      <c r="D47" s="124">
        <v>1805.8043401600003</v>
      </c>
      <c r="E47" s="124">
        <v>1908.5277894900003</v>
      </c>
      <c r="F47" s="124">
        <v>102.72344933</v>
      </c>
      <c r="G47" s="142">
        <v>540.2581398500006</v>
      </c>
      <c r="H47" s="142">
        <v>5.68851492077477</v>
      </c>
      <c r="I47" s="210">
        <v>39.48477114815387</v>
      </c>
    </row>
    <row r="48" spans="2:10" ht="11.25">
      <c r="B48" s="212" t="s">
        <v>117</v>
      </c>
      <c r="C48" s="124">
        <v>1130.012</v>
      </c>
      <c r="D48" s="124">
        <v>1189.8614180900001</v>
      </c>
      <c r="E48" s="124">
        <v>1097.3976487799998</v>
      </c>
      <c r="F48" s="124">
        <v>-92.46376931000032</v>
      </c>
      <c r="G48" s="142">
        <v>-32.61435122000012</v>
      </c>
      <c r="H48" s="142">
        <v>-7.77096961917009</v>
      </c>
      <c r="I48" s="210">
        <v>-2.886195121821726</v>
      </c>
      <c r="J48" s="61"/>
    </row>
    <row r="49" spans="2:9" ht="11.25">
      <c r="B49" s="211" t="s">
        <v>118</v>
      </c>
      <c r="C49" s="124">
        <v>3108.182</v>
      </c>
      <c r="D49" s="124">
        <v>3153.32126414</v>
      </c>
      <c r="E49" s="124">
        <v>3228.25784111</v>
      </c>
      <c r="F49" s="124">
        <v>74.9365769699998</v>
      </c>
      <c r="G49" s="142">
        <v>120.07584111000006</v>
      </c>
      <c r="H49" s="142">
        <v>2.3764333124629196</v>
      </c>
      <c r="I49" s="210">
        <v>3.863217826690975</v>
      </c>
    </row>
    <row r="50" spans="2:9" ht="11.25">
      <c r="B50" s="211" t="s">
        <v>119</v>
      </c>
      <c r="C50" s="124">
        <v>59.193</v>
      </c>
      <c r="D50" s="124">
        <v>70.86056742999999</v>
      </c>
      <c r="E50" s="124">
        <v>73.68676462</v>
      </c>
      <c r="F50" s="124">
        <v>2.8261971900000162</v>
      </c>
      <c r="G50" s="142">
        <v>14.493764620000007</v>
      </c>
      <c r="H50" s="142">
        <v>3.988391982313564</v>
      </c>
      <c r="I50" s="210">
        <v>24.485605764195103</v>
      </c>
    </row>
    <row r="51" spans="2:9" ht="11.25">
      <c r="B51" s="211" t="s">
        <v>120</v>
      </c>
      <c r="C51" s="124">
        <v>325.986</v>
      </c>
      <c r="D51" s="124">
        <v>361.424</v>
      </c>
      <c r="E51" s="124">
        <v>361.264</v>
      </c>
      <c r="F51" s="124">
        <v>-0.15999999999996817</v>
      </c>
      <c r="G51" s="142">
        <v>35.27800000000002</v>
      </c>
      <c r="H51" s="142">
        <v>-0.04426933463189168</v>
      </c>
      <c r="I51" s="210">
        <v>10.821937138404722</v>
      </c>
    </row>
    <row r="52" spans="2:9" ht="12" thickBot="1">
      <c r="B52" s="213" t="s">
        <v>123</v>
      </c>
      <c r="C52" s="144">
        <v>45.591</v>
      </c>
      <c r="D52" s="217">
        <v>44.214</v>
      </c>
      <c r="E52" s="217">
        <v>44.257</v>
      </c>
      <c r="F52" s="144">
        <v>0.04299999999999926</v>
      </c>
      <c r="G52" s="145">
        <v>-1.3340000000000032</v>
      </c>
      <c r="H52" s="145">
        <v>0.0972542633554966</v>
      </c>
      <c r="I52" s="214">
        <v>-2.926016099668801</v>
      </c>
    </row>
    <row r="53" ht="11.25">
      <c r="B53" s="71" t="s">
        <v>140</v>
      </c>
    </row>
  </sheetData>
  <sheetProtection/>
  <mergeCells count="9">
    <mergeCell ref="F31:G31"/>
    <mergeCell ref="H31:I31"/>
    <mergeCell ref="B30:I30"/>
    <mergeCell ref="B2:I2"/>
    <mergeCell ref="B18:I18"/>
    <mergeCell ref="F3:G3"/>
    <mergeCell ref="H3:I3"/>
    <mergeCell ref="F19:G19"/>
    <mergeCell ref="H19:I19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48"/>
  <sheetViews>
    <sheetView showGridLines="0" zoomScalePageLayoutView="0" workbookViewId="0" topLeftCell="A3">
      <selection activeCell="A1" sqref="A1:M49"/>
    </sheetView>
  </sheetViews>
  <sheetFormatPr defaultColWidth="9.140625" defaultRowHeight="12"/>
  <cols>
    <col min="1" max="16384" width="9.28125" style="1" customWidth="1"/>
  </cols>
  <sheetData>
    <row r="2" spans="2:13" ht="15.75">
      <c r="B2" s="227" t="s">
        <v>162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229"/>
    </row>
    <row r="3" spans="1:14" ht="1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ht="1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ht="1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</row>
    <row r="8" spans="1:14" ht="1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14" ht="1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4" ht="1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ht="1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4" ht="1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1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</row>
    <row r="14" spans="1:14" ht="1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</row>
    <row r="15" spans="1:14" ht="1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</row>
    <row r="16" spans="1:14" ht="15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1:14" ht="1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ht="15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1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</row>
    <row r="20" spans="1:14" ht="15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</row>
    <row r="21" ht="15">
      <c r="D21" s="148"/>
    </row>
    <row r="25" spans="1:12" ht="15.75">
      <c r="A25" s="227"/>
      <c r="B25" s="228"/>
      <c r="C25" s="228"/>
      <c r="D25" s="228"/>
      <c r="E25" s="228"/>
      <c r="F25" s="228"/>
      <c r="G25" s="228"/>
      <c r="H25" s="228"/>
      <c r="I25" s="228"/>
      <c r="J25" s="228"/>
      <c r="K25" s="229"/>
      <c r="L25" s="229"/>
    </row>
    <row r="27" spans="2:13" ht="15.75">
      <c r="B27" s="227" t="s">
        <v>157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9"/>
      <c r="M27" s="229"/>
    </row>
    <row r="28" spans="2:12" ht="1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2:17" ht="1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Q29" s="15"/>
    </row>
    <row r="30" spans="2:12" ht="1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2:12" ht="1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2:12" ht="1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2:12" ht="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1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2:12" ht="1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2:12" ht="1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2:12" ht="1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2:12" ht="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2:12" ht="1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ht="1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2:12" ht="1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2:12" ht="1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2:12" ht="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2:12" ht="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2:12" ht="15">
      <c r="B46" s="131" t="s">
        <v>105</v>
      </c>
      <c r="C46" s="131"/>
      <c r="D46" s="131"/>
      <c r="E46" s="131"/>
      <c r="F46" s="25"/>
      <c r="G46" s="25"/>
      <c r="H46" s="25"/>
      <c r="I46" s="25"/>
      <c r="J46" s="25"/>
      <c r="K46" s="25"/>
      <c r="L46" s="25"/>
    </row>
    <row r="47" spans="2:5" ht="15">
      <c r="B47" s="131" t="s">
        <v>151</v>
      </c>
      <c r="C47" s="131"/>
      <c r="D47" s="131"/>
      <c r="E47" s="131"/>
    </row>
    <row r="48" spans="2:5" ht="15">
      <c r="B48" s="25"/>
      <c r="C48" s="25"/>
      <c r="D48" s="25"/>
      <c r="E48" s="25"/>
    </row>
  </sheetData>
  <sheetProtection/>
  <mergeCells count="3">
    <mergeCell ref="B2:M2"/>
    <mergeCell ref="A25:L25"/>
    <mergeCell ref="B27:M27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84"/>
  <sheetViews>
    <sheetView showGridLines="0" zoomScale="75" zoomScaleNormal="75" zoomScaleSheetLayoutView="75" zoomScalePageLayoutView="0" workbookViewId="0" topLeftCell="A1">
      <selection activeCell="A1" sqref="A1:C85"/>
    </sheetView>
  </sheetViews>
  <sheetFormatPr defaultColWidth="9.140625" defaultRowHeight="12"/>
  <cols>
    <col min="1" max="1" width="82.8515625" style="2" customWidth="1"/>
    <col min="2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3" t="s">
        <v>46</v>
      </c>
    </row>
    <row r="2" spans="1:5" ht="12.75" thickBot="1">
      <c r="A2" s="3" t="s">
        <v>2</v>
      </c>
      <c r="B2" s="58">
        <v>39232</v>
      </c>
      <c r="C2" s="58">
        <v>39263</v>
      </c>
      <c r="D2" s="150"/>
      <c r="E2" s="4"/>
    </row>
    <row r="3" spans="1:5" ht="12">
      <c r="A3" s="5"/>
      <c r="B3" s="35"/>
      <c r="C3" s="35"/>
      <c r="D3" s="151"/>
      <c r="E3" s="4"/>
    </row>
    <row r="4" spans="1:5" ht="12">
      <c r="A4" s="5" t="s">
        <v>3</v>
      </c>
      <c r="B4" s="36">
        <v>9</v>
      </c>
      <c r="C4" s="36">
        <v>9.5</v>
      </c>
      <c r="D4" s="151"/>
      <c r="E4" s="4"/>
    </row>
    <row r="5" spans="1:5" ht="12">
      <c r="A5" s="5"/>
      <c r="B5" s="36"/>
      <c r="C5" s="36"/>
      <c r="D5" s="151"/>
      <c r="E5" s="4"/>
    </row>
    <row r="6" spans="1:5" ht="12">
      <c r="A6" s="5" t="s">
        <v>41</v>
      </c>
      <c r="B6" s="36">
        <v>13.75</v>
      </c>
      <c r="C6" s="36">
        <v>14.25</v>
      </c>
      <c r="D6" s="152"/>
      <c r="E6" s="4"/>
    </row>
    <row r="7" spans="1:5" ht="12">
      <c r="A7" s="5"/>
      <c r="B7" s="36"/>
      <c r="C7" s="36"/>
      <c r="D7" s="152"/>
      <c r="E7" s="4"/>
    </row>
    <row r="8" spans="1:5" ht="12">
      <c r="A8" s="5" t="s">
        <v>4</v>
      </c>
      <c r="B8" s="36">
        <v>13.75</v>
      </c>
      <c r="C8" s="36">
        <v>14.25</v>
      </c>
      <c r="D8" s="152"/>
      <c r="E8" s="4"/>
    </row>
    <row r="9" spans="1:5" ht="12">
      <c r="A9" s="5"/>
      <c r="B9" s="36"/>
      <c r="C9" s="36"/>
      <c r="D9" s="152"/>
      <c r="E9" s="4"/>
    </row>
    <row r="10" spans="1:5" ht="12">
      <c r="A10" s="5" t="s">
        <v>143</v>
      </c>
      <c r="B10" s="36">
        <v>12.65</v>
      </c>
      <c r="C10" s="36">
        <v>12.22</v>
      </c>
      <c r="D10" s="152"/>
      <c r="E10" s="4"/>
    </row>
    <row r="11" spans="1:5" ht="12">
      <c r="A11" s="5"/>
      <c r="B11" s="36"/>
      <c r="C11" s="36"/>
      <c r="D11" s="152"/>
      <c r="E11" s="4"/>
    </row>
    <row r="12" spans="1:5" ht="12">
      <c r="A12" s="5" t="s">
        <v>5</v>
      </c>
      <c r="B12" s="36">
        <v>7.34</v>
      </c>
      <c r="C12" s="36">
        <v>7.24</v>
      </c>
      <c r="D12" s="152"/>
      <c r="E12" s="4"/>
    </row>
    <row r="13" spans="1:5" ht="12">
      <c r="A13" s="5"/>
      <c r="B13" s="36"/>
      <c r="C13" s="36"/>
      <c r="D13" s="151"/>
      <c r="E13" s="4"/>
    </row>
    <row r="14" spans="1:5" ht="12">
      <c r="A14" s="6" t="s">
        <v>6</v>
      </c>
      <c r="B14" s="36"/>
      <c r="C14" s="36"/>
      <c r="D14" s="151"/>
      <c r="E14" s="4"/>
    </row>
    <row r="15" spans="1:4" ht="12">
      <c r="A15" s="5"/>
      <c r="B15" s="36"/>
      <c r="C15" s="36"/>
      <c r="D15" s="151"/>
    </row>
    <row r="16" spans="1:4" ht="12">
      <c r="A16" s="5" t="s">
        <v>7</v>
      </c>
      <c r="B16" s="36">
        <v>8.11</v>
      </c>
      <c r="C16" s="36">
        <v>8.11</v>
      </c>
      <c r="D16" s="151"/>
    </row>
    <row r="17" spans="1:4" ht="12">
      <c r="A17" s="5" t="s">
        <v>40</v>
      </c>
      <c r="B17" s="36">
        <v>8.53</v>
      </c>
      <c r="C17" s="36">
        <v>8.53</v>
      </c>
      <c r="D17" s="151"/>
    </row>
    <row r="18" spans="1:4" ht="12">
      <c r="A18" s="5" t="s">
        <v>8</v>
      </c>
      <c r="B18" s="64">
        <v>50</v>
      </c>
      <c r="C18" s="64">
        <v>100</v>
      </c>
      <c r="D18" s="152"/>
    </row>
    <row r="19" spans="1:4" ht="12">
      <c r="A19" s="5" t="s">
        <v>9</v>
      </c>
      <c r="B19" s="64">
        <v>50</v>
      </c>
      <c r="C19" s="64">
        <v>100</v>
      </c>
      <c r="D19" s="152"/>
    </row>
    <row r="20" spans="1:4" ht="12">
      <c r="A20" s="5"/>
      <c r="B20" s="36"/>
      <c r="C20" s="36"/>
      <c r="D20" s="151"/>
    </row>
    <row r="21" spans="1:4" ht="12">
      <c r="A21" s="6" t="s">
        <v>10</v>
      </c>
      <c r="B21" s="36"/>
      <c r="C21" s="36"/>
      <c r="D21" s="151"/>
    </row>
    <row r="22" spans="1:4" ht="12">
      <c r="A22" s="5"/>
      <c r="B22" s="36"/>
      <c r="C22" s="36"/>
      <c r="D22" s="151"/>
    </row>
    <row r="23" spans="1:4" ht="12">
      <c r="A23" s="5" t="s">
        <v>7</v>
      </c>
      <c r="B23" s="64">
        <v>8.09</v>
      </c>
      <c r="C23" s="64">
        <v>8.05</v>
      </c>
      <c r="D23" s="152"/>
    </row>
    <row r="24" spans="1:4" ht="12">
      <c r="A24" s="5" t="s">
        <v>39</v>
      </c>
      <c r="B24" s="36">
        <v>8.6</v>
      </c>
      <c r="C24" s="36">
        <v>8.57</v>
      </c>
      <c r="D24" s="151"/>
    </row>
    <row r="25" spans="1:4" ht="12">
      <c r="A25" s="5" t="s">
        <v>8</v>
      </c>
      <c r="B25" s="64">
        <v>300</v>
      </c>
      <c r="C25" s="64">
        <v>149.99</v>
      </c>
      <c r="D25" s="152"/>
    </row>
    <row r="26" spans="1:4" ht="12">
      <c r="A26" s="5" t="s">
        <v>9</v>
      </c>
      <c r="B26" s="64">
        <v>350</v>
      </c>
      <c r="C26" s="64">
        <v>150</v>
      </c>
      <c r="D26" s="152"/>
    </row>
    <row r="27" spans="1:4" ht="12">
      <c r="A27" s="5"/>
      <c r="B27" s="36"/>
      <c r="C27" s="36"/>
      <c r="D27" s="151"/>
    </row>
    <row r="28" spans="1:4" ht="12">
      <c r="A28" s="6" t="s">
        <v>42</v>
      </c>
      <c r="B28" s="36"/>
      <c r="C28" s="36"/>
      <c r="D28" s="151"/>
    </row>
    <row r="29" spans="1:4" ht="12">
      <c r="A29" s="5"/>
      <c r="B29" s="60"/>
      <c r="C29" s="60"/>
      <c r="D29" s="153"/>
    </row>
    <row r="30" spans="1:4" ht="12">
      <c r="A30" s="5" t="s">
        <v>7</v>
      </c>
      <c r="B30" s="64">
        <v>8.18</v>
      </c>
      <c r="C30" s="64">
        <v>8</v>
      </c>
      <c r="D30" s="152"/>
    </row>
    <row r="31" spans="1:4" ht="12">
      <c r="A31" s="5" t="s">
        <v>39</v>
      </c>
      <c r="B31" s="64">
        <v>8.91</v>
      </c>
      <c r="C31" s="64">
        <v>8.75</v>
      </c>
      <c r="D31" s="152"/>
    </row>
    <row r="32" spans="1:4" ht="12">
      <c r="A32" s="5" t="s">
        <v>8</v>
      </c>
      <c r="B32" s="64">
        <v>100</v>
      </c>
      <c r="C32" s="64">
        <v>250</v>
      </c>
      <c r="D32" s="152"/>
    </row>
    <row r="33" spans="1:4" ht="12">
      <c r="A33" s="5" t="s">
        <v>9</v>
      </c>
      <c r="B33" s="36">
        <v>200</v>
      </c>
      <c r="C33" s="36">
        <v>400</v>
      </c>
      <c r="D33" s="151"/>
    </row>
    <row r="34" spans="1:4" ht="12">
      <c r="A34" s="5"/>
      <c r="B34" s="36"/>
      <c r="C34" s="36"/>
      <c r="D34" s="151"/>
    </row>
    <row r="35" spans="1:4" ht="12">
      <c r="A35" s="5"/>
      <c r="B35" s="36"/>
      <c r="C35" s="36"/>
      <c r="D35" s="151"/>
    </row>
    <row r="36" spans="1:4" ht="12">
      <c r="A36" s="5"/>
      <c r="B36" s="36"/>
      <c r="C36" s="36"/>
      <c r="D36" s="151"/>
    </row>
    <row r="37" spans="1:4" ht="12">
      <c r="A37" s="6" t="s">
        <v>43</v>
      </c>
      <c r="B37" s="36">
        <v>3850</v>
      </c>
      <c r="C37" s="36">
        <v>3699.99</v>
      </c>
      <c r="D37" s="151"/>
    </row>
    <row r="38" spans="1:4" ht="12">
      <c r="A38" s="5"/>
      <c r="B38" s="36"/>
      <c r="C38" s="36"/>
      <c r="D38" s="151"/>
    </row>
    <row r="39" spans="1:4" ht="12">
      <c r="A39" s="5"/>
      <c r="B39" s="33"/>
      <c r="C39" s="33"/>
      <c r="D39" s="154"/>
    </row>
    <row r="40" spans="1:4" ht="12.75" thickBot="1">
      <c r="A40" s="5"/>
      <c r="B40" s="33"/>
      <c r="C40" s="159"/>
      <c r="D40" s="154"/>
    </row>
    <row r="41" spans="1:4" ht="12.75" thickBot="1">
      <c r="A41" s="3" t="s">
        <v>11</v>
      </c>
      <c r="B41" s="58">
        <v>39231</v>
      </c>
      <c r="C41" s="58">
        <v>39263</v>
      </c>
      <c r="D41" s="150"/>
    </row>
    <row r="42" spans="1:4" ht="12">
      <c r="A42" s="5"/>
      <c r="B42" s="33"/>
      <c r="C42" s="160"/>
      <c r="D42" s="154"/>
    </row>
    <row r="43" spans="1:4" ht="12">
      <c r="A43" s="6" t="s">
        <v>12</v>
      </c>
      <c r="B43" s="33"/>
      <c r="C43" s="33"/>
      <c r="D43" s="154"/>
    </row>
    <row r="44" spans="1:4" ht="12">
      <c r="A44" s="7" t="s">
        <v>108</v>
      </c>
      <c r="B44" s="33"/>
      <c r="C44" s="33"/>
      <c r="D44" s="154"/>
    </row>
    <row r="45" spans="1:4" ht="12">
      <c r="A45" s="5" t="s">
        <v>13</v>
      </c>
      <c r="B45" s="59">
        <v>8.82</v>
      </c>
      <c r="C45" s="59">
        <v>8.82</v>
      </c>
      <c r="D45" s="155"/>
    </row>
    <row r="46" spans="1:4" ht="12">
      <c r="A46" s="5" t="s">
        <v>8</v>
      </c>
      <c r="B46" s="59">
        <v>8</v>
      </c>
      <c r="C46" s="59">
        <v>8</v>
      </c>
      <c r="D46" s="155"/>
    </row>
    <row r="47" spans="1:4" ht="12">
      <c r="A47" s="5" t="s">
        <v>9</v>
      </c>
      <c r="B47" s="59">
        <v>0</v>
      </c>
      <c r="C47" s="59">
        <v>0</v>
      </c>
      <c r="D47" s="155"/>
    </row>
    <row r="48" spans="1:4" ht="12">
      <c r="A48" s="5"/>
      <c r="B48" s="36"/>
      <c r="C48" s="36"/>
      <c r="D48" s="151"/>
    </row>
    <row r="49" spans="1:4" ht="12">
      <c r="A49" s="5" t="s">
        <v>14</v>
      </c>
      <c r="B49" s="64">
        <v>6977.85</v>
      </c>
      <c r="C49" s="64">
        <v>6977.85</v>
      </c>
      <c r="D49" s="152"/>
    </row>
    <row r="50" spans="1:4" ht="12.75" thickBot="1">
      <c r="A50" s="5"/>
      <c r="B50" s="33"/>
      <c r="C50" s="159"/>
      <c r="D50" s="154"/>
    </row>
    <row r="51" spans="1:4" ht="12.75" thickBot="1">
      <c r="A51" s="3" t="s">
        <v>15</v>
      </c>
      <c r="B51" s="58">
        <v>39231</v>
      </c>
      <c r="C51" s="58">
        <v>39263</v>
      </c>
      <c r="D51" s="150"/>
    </row>
    <row r="52" spans="1:4" ht="12">
      <c r="A52" s="5"/>
      <c r="B52" s="33"/>
      <c r="C52" s="160"/>
      <c r="D52" s="154"/>
    </row>
    <row r="53" spans="1:4" ht="12">
      <c r="A53" s="6" t="s">
        <v>16</v>
      </c>
      <c r="B53" s="33"/>
      <c r="C53" s="33"/>
      <c r="D53" s="154"/>
    </row>
    <row r="54" spans="1:4" ht="12">
      <c r="A54" s="5"/>
      <c r="B54" s="33"/>
      <c r="C54" s="33"/>
      <c r="D54" s="154"/>
    </row>
    <row r="55" spans="1:5" ht="12">
      <c r="A55" s="5" t="s">
        <v>17</v>
      </c>
      <c r="B55" s="63">
        <v>21.93</v>
      </c>
      <c r="C55" s="63">
        <v>11.8</v>
      </c>
      <c r="D55" s="156"/>
      <c r="E55" s="8"/>
    </row>
    <row r="56" spans="1:10" ht="12">
      <c r="A56" s="5" t="s">
        <v>18</v>
      </c>
      <c r="B56" s="62">
        <v>1205.64</v>
      </c>
      <c r="C56" s="62">
        <v>574.59</v>
      </c>
      <c r="D56" s="157"/>
      <c r="E56" s="8"/>
      <c r="H56" s="9"/>
      <c r="J56" s="9"/>
    </row>
    <row r="57" spans="1:5" ht="12">
      <c r="A57" s="5" t="s">
        <v>19</v>
      </c>
      <c r="B57" s="62">
        <v>976.79</v>
      </c>
      <c r="C57" s="62">
        <v>936.08</v>
      </c>
      <c r="D57" s="157"/>
      <c r="E57" s="10"/>
    </row>
    <row r="58" spans="1:5" ht="12">
      <c r="A58" s="5" t="s">
        <v>20</v>
      </c>
      <c r="B58" s="62">
        <v>1345.64</v>
      </c>
      <c r="C58" s="62">
        <v>1287.88</v>
      </c>
      <c r="D58" s="157"/>
      <c r="E58" s="10"/>
    </row>
    <row r="59" spans="1:5" ht="12">
      <c r="A59" s="5" t="s">
        <v>21</v>
      </c>
      <c r="B59" s="62">
        <v>661.48</v>
      </c>
      <c r="C59" s="62">
        <v>635.41</v>
      </c>
      <c r="D59" s="157"/>
      <c r="E59" s="10"/>
    </row>
    <row r="60" spans="1:10" ht="12">
      <c r="A60" s="5" t="s">
        <v>22</v>
      </c>
      <c r="B60" s="62">
        <v>594.21</v>
      </c>
      <c r="C60" s="62">
        <v>566.55</v>
      </c>
      <c r="D60" s="157"/>
      <c r="E60" s="10"/>
      <c r="H60" s="9"/>
      <c r="J60" s="9"/>
    </row>
    <row r="61" spans="1:10" ht="12">
      <c r="A61" s="5" t="s">
        <v>23</v>
      </c>
      <c r="B61" s="62">
        <v>40.84</v>
      </c>
      <c r="C61" s="62">
        <v>40.76</v>
      </c>
      <c r="D61" s="157"/>
      <c r="E61" s="10"/>
      <c r="H61" s="9"/>
      <c r="J61" s="9"/>
    </row>
    <row r="62" spans="1:4" ht="12">
      <c r="A62" s="5" t="s">
        <v>24</v>
      </c>
      <c r="B62" s="62">
        <v>46.58</v>
      </c>
      <c r="C62" s="62">
        <v>42.94</v>
      </c>
      <c r="D62" s="157"/>
    </row>
    <row r="63" spans="1:4" ht="12">
      <c r="A63" s="5" t="s">
        <v>25</v>
      </c>
      <c r="B63" s="62">
        <v>2.54</v>
      </c>
      <c r="C63" s="62">
        <v>2.23</v>
      </c>
      <c r="D63" s="157"/>
    </row>
    <row r="64" spans="1:4" ht="12">
      <c r="A64" s="5"/>
      <c r="B64" s="33"/>
      <c r="C64" s="33"/>
      <c r="D64" s="154"/>
    </row>
    <row r="65" spans="1:4" ht="12">
      <c r="A65" s="6" t="s">
        <v>26</v>
      </c>
      <c r="B65" s="33"/>
      <c r="C65" s="33"/>
      <c r="D65" s="154"/>
    </row>
    <row r="66" spans="1:5" ht="12">
      <c r="A66" s="5"/>
      <c r="B66" s="33"/>
      <c r="C66" s="33"/>
      <c r="D66" s="154"/>
      <c r="E66" s="8"/>
    </row>
    <row r="67" spans="1:5" ht="12">
      <c r="A67" s="5" t="s">
        <v>17</v>
      </c>
      <c r="B67" s="36">
        <v>50.16</v>
      </c>
      <c r="C67" s="36">
        <v>90.73</v>
      </c>
      <c r="D67" s="151"/>
      <c r="E67" s="8"/>
    </row>
    <row r="68" spans="1:5" ht="12">
      <c r="A68" s="5" t="s">
        <v>18</v>
      </c>
      <c r="B68" s="36">
        <v>0.38</v>
      </c>
      <c r="C68" s="36">
        <v>0.67</v>
      </c>
      <c r="D68" s="151"/>
      <c r="E68" s="9"/>
    </row>
    <row r="69" spans="1:5" ht="12">
      <c r="A69" s="5" t="s">
        <v>19</v>
      </c>
      <c r="B69" s="36">
        <v>103.69</v>
      </c>
      <c r="C69" s="36">
        <v>105.11</v>
      </c>
      <c r="D69" s="151"/>
      <c r="E69" s="9"/>
    </row>
    <row r="70" spans="1:5" ht="12">
      <c r="A70" s="5" t="s">
        <v>20</v>
      </c>
      <c r="B70" s="64">
        <v>3.89</v>
      </c>
      <c r="C70" s="64">
        <v>39.5</v>
      </c>
      <c r="D70" s="152"/>
      <c r="E70" s="9"/>
    </row>
    <row r="71" spans="1:5" ht="12">
      <c r="A71" s="5" t="s">
        <v>21</v>
      </c>
      <c r="B71" s="36">
        <v>0</v>
      </c>
      <c r="C71" s="36">
        <v>0</v>
      </c>
      <c r="D71" s="151"/>
      <c r="E71" s="9"/>
    </row>
    <row r="72" spans="1:5" ht="12">
      <c r="A72" s="5" t="s">
        <v>22</v>
      </c>
      <c r="B72" s="36">
        <v>3.18</v>
      </c>
      <c r="C72" s="36">
        <v>3.22</v>
      </c>
      <c r="D72" s="151"/>
      <c r="E72" s="9"/>
    </row>
    <row r="73" spans="1:4" ht="12">
      <c r="A73" s="5" t="s">
        <v>23</v>
      </c>
      <c r="B73" s="36">
        <v>0.67</v>
      </c>
      <c r="C73" s="36">
        <v>0.69</v>
      </c>
      <c r="D73" s="151"/>
    </row>
    <row r="74" spans="1:4" ht="12">
      <c r="A74" s="5" t="s">
        <v>24</v>
      </c>
      <c r="B74" s="36">
        <v>0.03</v>
      </c>
      <c r="C74" s="36">
        <v>0.03</v>
      </c>
      <c r="D74" s="151"/>
    </row>
    <row r="75" spans="1:4" ht="12">
      <c r="A75" s="5" t="s">
        <v>25</v>
      </c>
      <c r="B75" s="36">
        <v>0</v>
      </c>
      <c r="C75" s="36">
        <v>0</v>
      </c>
      <c r="D75" s="151"/>
    </row>
    <row r="76" spans="1:4" ht="12.75" thickBot="1">
      <c r="A76" s="5"/>
      <c r="B76" s="36"/>
      <c r="C76" s="161"/>
      <c r="D76" s="151"/>
    </row>
    <row r="77" spans="1:4" ht="12.75" thickBot="1">
      <c r="A77" s="3" t="s">
        <v>107</v>
      </c>
      <c r="B77" s="58">
        <v>39231</v>
      </c>
      <c r="C77" s="58">
        <v>39263</v>
      </c>
      <c r="D77" s="150"/>
    </row>
    <row r="78" spans="1:4" ht="12">
      <c r="A78" s="5"/>
      <c r="B78" s="33"/>
      <c r="C78" s="160"/>
      <c r="D78" s="154"/>
    </row>
    <row r="79" spans="1:4" ht="12">
      <c r="A79" s="5"/>
      <c r="B79" s="33"/>
      <c r="C79" s="33"/>
      <c r="D79" s="154"/>
    </row>
    <row r="80" spans="1:4" ht="12">
      <c r="A80" s="5" t="s">
        <v>27</v>
      </c>
      <c r="B80" s="60">
        <v>7.1</v>
      </c>
      <c r="C80" s="60">
        <v>7</v>
      </c>
      <c r="D80" s="158"/>
    </row>
    <row r="81" spans="1:4" ht="12">
      <c r="A81" s="5" t="s">
        <v>28</v>
      </c>
      <c r="B81" s="60">
        <v>3.1</v>
      </c>
      <c r="C81" s="149">
        <v>3.4</v>
      </c>
      <c r="D81" s="158"/>
    </row>
    <row r="82" spans="1:4" ht="12.75" thickBot="1">
      <c r="A82" s="11" t="s">
        <v>29</v>
      </c>
      <c r="B82" s="66">
        <v>0.5</v>
      </c>
      <c r="C82" s="66">
        <v>0.3</v>
      </c>
      <c r="D82" s="158"/>
    </row>
    <row r="83" ht="12">
      <c r="A83" s="2" t="s">
        <v>155</v>
      </c>
    </row>
    <row r="84" ht="12">
      <c r="A84" s="2" t="s">
        <v>144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84"/>
  <sheetViews>
    <sheetView showGridLines="0" zoomScale="75" zoomScaleNormal="75" zoomScaleSheetLayoutView="75" zoomScalePageLayoutView="0" workbookViewId="0" topLeftCell="B41">
      <selection activeCell="B3" sqref="A3:Q82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3:13" ht="15.75"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7" ht="15.75">
      <c r="A4" s="15"/>
      <c r="B4" s="15"/>
      <c r="C4" s="231" t="s">
        <v>158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15"/>
      <c r="O4" s="15"/>
      <c r="P4" s="15"/>
      <c r="Q4" s="15"/>
    </row>
    <row r="5" spans="1:17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15"/>
      <c r="M6" s="15"/>
      <c r="N6" s="15"/>
      <c r="O6" s="15"/>
      <c r="P6" s="15"/>
      <c r="Q6" s="15"/>
    </row>
    <row r="7" spans="1:17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23"/>
      <c r="P7" s="15"/>
      <c r="Q7" s="15"/>
    </row>
    <row r="8" spans="1:17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15"/>
      <c r="C26" s="132" t="s">
        <v>149</v>
      </c>
      <c r="D26" s="132"/>
      <c r="E26" s="123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15"/>
      <c r="B27" s="16"/>
      <c r="C27" s="122"/>
      <c r="D27" s="123"/>
      <c r="E27" s="12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1" t="s">
        <v>159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15"/>
      <c r="M30" s="15"/>
      <c r="N30" s="15"/>
      <c r="O30" s="15"/>
      <c r="P30" s="15"/>
      <c r="Q30" s="15"/>
    </row>
    <row r="31" spans="1:17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">
      <c r="A47" s="15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">
      <c r="A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15"/>
      <c r="B52" s="16"/>
      <c r="C52" s="132" t="s">
        <v>148</v>
      </c>
      <c r="D52" s="13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">
      <c r="A53" s="15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">
      <c r="A54" s="15"/>
      <c r="B54" s="1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2:17" ht="15">
      <c r="L55" s="15"/>
      <c r="M55" s="15"/>
      <c r="N55" s="15"/>
      <c r="O55" s="15"/>
      <c r="P55" s="15"/>
      <c r="Q55" s="15"/>
    </row>
    <row r="56" spans="1:17" ht="15">
      <c r="A56" s="15"/>
      <c r="B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15"/>
      <c r="B58" s="15"/>
      <c r="C58" s="230" t="s">
        <v>160</v>
      </c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15"/>
      <c r="O58" s="15"/>
      <c r="P58" s="15"/>
      <c r="Q58" s="15"/>
    </row>
    <row r="59" spans="1:17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ht="15">
      <c r="B75" s="16"/>
    </row>
    <row r="78" ht="15">
      <c r="B78" s="16"/>
    </row>
    <row r="79" spans="3:6" ht="15.75">
      <c r="C79" s="132" t="s">
        <v>150</v>
      </c>
      <c r="D79" s="133"/>
      <c r="E79" s="133"/>
      <c r="F79" s="133"/>
    </row>
    <row r="84" ht="15">
      <c r="C84" s="16"/>
    </row>
  </sheetData>
  <sheetProtection/>
  <mergeCells count="6">
    <mergeCell ref="A6:K6"/>
    <mergeCell ref="A30:K30"/>
    <mergeCell ref="C58:M58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C22"/>
  <sheetViews>
    <sheetView showGridLines="0" zoomScaleSheetLayoutView="75" zoomScalePageLayoutView="0" workbookViewId="0" topLeftCell="A3">
      <pane xSplit="30" ySplit="2" topLeftCell="AV12" activePane="bottomRight" state="frozen"/>
      <selection pane="topLeft" activeCell="A3" sqref="A3"/>
      <selection pane="topRight" activeCell="AE3" sqref="AE3"/>
      <selection pane="bottomLeft" activeCell="A5" sqref="A5"/>
      <selection pane="bottomRight" activeCell="B4" sqref="B4:BC23"/>
    </sheetView>
  </sheetViews>
  <sheetFormatPr defaultColWidth="9.140625" defaultRowHeight="19.5" customHeight="1"/>
  <cols>
    <col min="1" max="1" width="4.7109375" style="34" customWidth="1"/>
    <col min="2" max="2" width="57.7109375" style="34" customWidth="1"/>
    <col min="3" max="7" width="9.8515625" style="34" hidden="1" customWidth="1"/>
    <col min="8" max="8" width="11.28125" style="34" hidden="1" customWidth="1"/>
    <col min="9" max="9" width="11.8515625" style="34" hidden="1" customWidth="1"/>
    <col min="10" max="11" width="9.8515625" style="34" hidden="1" customWidth="1"/>
    <col min="12" max="12" width="11.140625" style="34" hidden="1" customWidth="1"/>
    <col min="13" max="13" width="11.421875" style="34" hidden="1" customWidth="1"/>
    <col min="14" max="14" width="11.00390625" style="34" hidden="1" customWidth="1"/>
    <col min="15" max="15" width="10.140625" style="34" hidden="1" customWidth="1"/>
    <col min="16" max="16" width="9.8515625" style="34" hidden="1" customWidth="1"/>
    <col min="17" max="17" width="11.28125" style="34" hidden="1" customWidth="1"/>
    <col min="18" max="18" width="10.7109375" style="34" hidden="1" customWidth="1"/>
    <col min="19" max="19" width="11.00390625" style="34" hidden="1" customWidth="1"/>
    <col min="20" max="20" width="14.7109375" style="34" hidden="1" customWidth="1"/>
    <col min="21" max="21" width="2.00390625" style="34" hidden="1" customWidth="1"/>
    <col min="22" max="22" width="10.421875" style="34" hidden="1" customWidth="1"/>
    <col min="23" max="23" width="9.8515625" style="34" hidden="1" customWidth="1"/>
    <col min="24" max="24" width="9.421875" style="34" hidden="1" customWidth="1"/>
    <col min="25" max="25" width="11.28125" style="34" hidden="1" customWidth="1"/>
    <col min="26" max="26" width="10.421875" style="34" hidden="1" customWidth="1"/>
    <col min="27" max="27" width="10.8515625" style="34" hidden="1" customWidth="1"/>
    <col min="28" max="28" width="11.00390625" style="34" hidden="1" customWidth="1"/>
    <col min="29" max="29" width="11.7109375" style="34" hidden="1" customWidth="1"/>
    <col min="30" max="30" width="9.8515625" style="34" hidden="1" customWidth="1"/>
    <col min="31" max="31" width="10.8515625" style="34" hidden="1" customWidth="1"/>
    <col min="32" max="32" width="11.8515625" style="34" hidden="1" customWidth="1"/>
    <col min="33" max="33" width="12.140625" style="34" hidden="1" customWidth="1"/>
    <col min="34" max="34" width="11.421875" style="34" hidden="1" customWidth="1"/>
    <col min="35" max="35" width="11.140625" style="34" hidden="1" customWidth="1"/>
    <col min="36" max="36" width="10.8515625" style="34" hidden="1" customWidth="1"/>
    <col min="37" max="40" width="10.421875" style="34" hidden="1" customWidth="1"/>
    <col min="41" max="41" width="11.421875" style="34" hidden="1" customWidth="1"/>
    <col min="42" max="42" width="11.00390625" style="34" hidden="1" customWidth="1"/>
    <col min="43" max="44" width="11.00390625" style="34" customWidth="1"/>
    <col min="45" max="48" width="12.7109375" style="34" customWidth="1"/>
    <col min="49" max="49" width="11.421875" style="34" customWidth="1"/>
    <col min="50" max="50" width="10.7109375" style="34" customWidth="1"/>
    <col min="51" max="52" width="11.8515625" style="34" customWidth="1"/>
    <col min="53" max="53" width="11.28125" style="34" customWidth="1"/>
    <col min="54" max="54" width="11.421875" style="34" customWidth="1"/>
    <col min="55" max="55" width="10.421875" style="34" customWidth="1"/>
    <col min="56" max="16384" width="9.140625" style="34" customWidth="1"/>
  </cols>
  <sheetData>
    <row r="1" ht="19.5" customHeight="1" thickBot="1"/>
    <row r="2" spans="2:48" ht="19.5" customHeight="1">
      <c r="B2" s="73" t="s">
        <v>145</v>
      </c>
      <c r="C2" s="74"/>
      <c r="D2" s="74"/>
      <c r="E2" s="74"/>
      <c r="F2" s="75"/>
      <c r="G2" s="76"/>
      <c r="H2" s="75"/>
      <c r="I2" s="76"/>
      <c r="J2" s="76"/>
      <c r="K2" s="75"/>
      <c r="L2" s="75"/>
      <c r="M2" s="77"/>
      <c r="N2" s="76"/>
      <c r="O2" s="78"/>
      <c r="P2" s="76"/>
      <c r="Q2" s="75"/>
      <c r="R2" s="76"/>
      <c r="S2" s="76"/>
      <c r="T2" s="79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</row>
    <row r="3" spans="2:52" ht="19.5" customHeight="1" thickBot="1">
      <c r="B3" s="80"/>
      <c r="C3" s="80"/>
      <c r="D3" s="80"/>
      <c r="E3" s="80"/>
      <c r="F3" s="81"/>
      <c r="G3" s="81"/>
      <c r="H3" s="81"/>
      <c r="I3" s="82"/>
      <c r="J3" s="82"/>
      <c r="K3" s="81"/>
      <c r="L3" s="81"/>
      <c r="M3" s="83"/>
      <c r="N3" s="82"/>
      <c r="O3" s="84"/>
      <c r="P3" s="82"/>
      <c r="Q3" s="81"/>
      <c r="R3" s="82"/>
      <c r="S3" s="82"/>
      <c r="T3" s="85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134"/>
      <c r="AX3" s="134"/>
      <c r="AY3" s="134"/>
      <c r="AZ3" s="121"/>
    </row>
    <row r="4" spans="2:55" ht="19.5" customHeight="1">
      <c r="B4" s="135"/>
      <c r="C4" s="136">
        <v>37655</v>
      </c>
      <c r="D4" s="136">
        <v>37681</v>
      </c>
      <c r="E4" s="136">
        <v>37712</v>
      </c>
      <c r="F4" s="136">
        <v>37742</v>
      </c>
      <c r="G4" s="136">
        <v>37773</v>
      </c>
      <c r="H4" s="136">
        <v>37803</v>
      </c>
      <c r="I4" s="136">
        <v>37834</v>
      </c>
      <c r="J4" s="136">
        <v>37865</v>
      </c>
      <c r="K4" s="136">
        <v>37895</v>
      </c>
      <c r="L4" s="136">
        <v>37926</v>
      </c>
      <c r="M4" s="136">
        <v>37956</v>
      </c>
      <c r="N4" s="136">
        <v>37987</v>
      </c>
      <c r="O4" s="137">
        <v>38018</v>
      </c>
      <c r="P4" s="136">
        <v>38047</v>
      </c>
      <c r="Q4" s="136">
        <v>38078</v>
      </c>
      <c r="R4" s="136">
        <v>38108</v>
      </c>
      <c r="S4" s="136">
        <v>38139</v>
      </c>
      <c r="T4" s="136">
        <v>38169</v>
      </c>
      <c r="U4" s="136">
        <v>38200</v>
      </c>
      <c r="V4" s="136">
        <v>38231</v>
      </c>
      <c r="W4" s="136">
        <v>38261</v>
      </c>
      <c r="X4" s="136">
        <v>38292</v>
      </c>
      <c r="Y4" s="136">
        <v>38322</v>
      </c>
      <c r="Z4" s="136">
        <v>38353</v>
      </c>
      <c r="AA4" s="136">
        <v>38384</v>
      </c>
      <c r="AB4" s="136">
        <v>38412</v>
      </c>
      <c r="AC4" s="136">
        <v>38443</v>
      </c>
      <c r="AD4" s="136">
        <v>38473</v>
      </c>
      <c r="AE4" s="136">
        <v>38504</v>
      </c>
      <c r="AF4" s="136">
        <v>38534</v>
      </c>
      <c r="AG4" s="136">
        <v>38565</v>
      </c>
      <c r="AH4" s="136">
        <v>38596</v>
      </c>
      <c r="AI4" s="136">
        <v>38626</v>
      </c>
      <c r="AJ4" s="136">
        <v>38657</v>
      </c>
      <c r="AK4" s="136">
        <v>38687</v>
      </c>
      <c r="AL4" s="136">
        <v>38718</v>
      </c>
      <c r="AM4" s="136">
        <v>38749</v>
      </c>
      <c r="AN4" s="136">
        <v>38777</v>
      </c>
      <c r="AO4" s="136">
        <v>38808</v>
      </c>
      <c r="AP4" s="136">
        <v>38838</v>
      </c>
      <c r="AQ4" s="136">
        <v>38869</v>
      </c>
      <c r="AR4" s="136">
        <v>38929</v>
      </c>
      <c r="AS4" s="136">
        <v>38960</v>
      </c>
      <c r="AT4" s="136">
        <v>38990</v>
      </c>
      <c r="AU4" s="136">
        <v>39021</v>
      </c>
      <c r="AV4" s="136">
        <v>39051</v>
      </c>
      <c r="AW4" s="136">
        <v>39082</v>
      </c>
      <c r="AX4" s="136">
        <v>39113</v>
      </c>
      <c r="AY4" s="136">
        <v>39141</v>
      </c>
      <c r="AZ4" s="136">
        <v>39172</v>
      </c>
      <c r="BA4" s="136">
        <v>39202</v>
      </c>
      <c r="BB4" s="136">
        <v>39233</v>
      </c>
      <c r="BC4" s="136">
        <v>39263</v>
      </c>
    </row>
    <row r="5" spans="1:55" ht="19.5" customHeight="1">
      <c r="A5" s="120"/>
      <c r="B5" s="86" t="s">
        <v>109</v>
      </c>
      <c r="C5" s="87"/>
      <c r="D5" s="87"/>
      <c r="E5" s="88"/>
      <c r="F5" s="89"/>
      <c r="G5" s="89"/>
      <c r="H5" s="89"/>
      <c r="I5" s="89"/>
      <c r="J5" s="89"/>
      <c r="K5" s="89"/>
      <c r="L5" s="89"/>
      <c r="M5" s="90"/>
      <c r="N5" s="89"/>
      <c r="O5" s="91"/>
      <c r="P5" s="92"/>
      <c r="Q5" s="89"/>
      <c r="R5" s="92"/>
      <c r="S5" s="92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</row>
    <row r="6" spans="1:55" ht="19.5" customHeight="1">
      <c r="A6" s="121"/>
      <c r="B6" s="86"/>
      <c r="C6" s="87"/>
      <c r="D6" s="87"/>
      <c r="E6" s="88"/>
      <c r="F6" s="89"/>
      <c r="G6" s="89"/>
      <c r="H6" s="89"/>
      <c r="I6" s="89"/>
      <c r="J6" s="89"/>
      <c r="K6" s="89"/>
      <c r="L6" s="89"/>
      <c r="M6" s="90"/>
      <c r="N6" s="89"/>
      <c r="O6" s="91"/>
      <c r="P6" s="92"/>
      <c r="Q6" s="89"/>
      <c r="R6" s="92"/>
      <c r="S6" s="92"/>
      <c r="T6" s="93"/>
      <c r="U6" s="92"/>
      <c r="V6" s="92"/>
      <c r="W6" s="92"/>
      <c r="X6" s="92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</row>
    <row r="7" spans="2:55" ht="19.5" customHeight="1">
      <c r="B7" s="86" t="s">
        <v>165</v>
      </c>
      <c r="C7" s="94">
        <v>2595.44027685</v>
      </c>
      <c r="D7" s="94">
        <v>2187.8368766900003</v>
      </c>
      <c r="E7" s="94">
        <v>2272.4872471500003</v>
      </c>
      <c r="F7" s="95">
        <v>2113.36340838</v>
      </c>
      <c r="G7" s="95">
        <v>2165.8</v>
      </c>
      <c r="H7" s="96">
        <v>2129.6</v>
      </c>
      <c r="I7" s="89">
        <v>1891</v>
      </c>
      <c r="J7" s="95">
        <v>2181.2</v>
      </c>
      <c r="K7" s="95">
        <v>2467.9</v>
      </c>
      <c r="L7" s="95">
        <v>2091</v>
      </c>
      <c r="M7" s="97">
        <v>2110.3</v>
      </c>
      <c r="N7" s="95">
        <v>2710.8702829799995</v>
      </c>
      <c r="O7" s="98">
        <v>1935.4129830699999</v>
      </c>
      <c r="P7" s="99">
        <v>1824.1042653499997</v>
      </c>
      <c r="Q7" s="89">
        <v>2395.6</v>
      </c>
      <c r="R7" s="89">
        <v>1860.4</v>
      </c>
      <c r="S7" s="89">
        <v>1783.2</v>
      </c>
      <c r="T7" s="89">
        <v>1984.6</v>
      </c>
      <c r="U7" s="89">
        <v>1989.9</v>
      </c>
      <c r="V7" s="89">
        <v>1808.2</v>
      </c>
      <c r="W7" s="89">
        <v>2207.6</v>
      </c>
      <c r="X7" s="89">
        <v>1987.9</v>
      </c>
      <c r="Y7" s="89">
        <v>1977.3</v>
      </c>
      <c r="Z7" s="89">
        <v>2327.5</v>
      </c>
      <c r="AA7" s="89">
        <v>2029.5</v>
      </c>
      <c r="AB7" s="89">
        <v>1912.6</v>
      </c>
      <c r="AC7" s="89">
        <v>2303.8</v>
      </c>
      <c r="AD7" s="89">
        <v>2107.1</v>
      </c>
      <c r="AE7" s="89">
        <v>1874.1</v>
      </c>
      <c r="AF7" s="89">
        <v>2354.7</v>
      </c>
      <c r="AG7" s="89">
        <v>2159.1</v>
      </c>
      <c r="AH7" s="89">
        <v>1818.2</v>
      </c>
      <c r="AI7" s="95">
        <v>2245</v>
      </c>
      <c r="AJ7" s="95">
        <v>1902.22246</v>
      </c>
      <c r="AK7" s="95">
        <v>1983.9</v>
      </c>
      <c r="AL7" s="95">
        <v>2705.5</v>
      </c>
      <c r="AM7" s="95">
        <v>2696</v>
      </c>
      <c r="AN7" s="95">
        <v>2458.1</v>
      </c>
      <c r="AO7" s="95">
        <v>3129.7</v>
      </c>
      <c r="AP7" s="95">
        <v>2973</v>
      </c>
      <c r="AQ7" s="95">
        <v>2677.9</v>
      </c>
      <c r="AR7" s="95">
        <v>3313.1</v>
      </c>
      <c r="AS7" s="95">
        <v>2760.7</v>
      </c>
      <c r="AT7" s="95">
        <v>3119.2</v>
      </c>
      <c r="AU7" s="95">
        <v>4104.4</v>
      </c>
      <c r="AV7" s="95">
        <v>3495.2</v>
      </c>
      <c r="AW7" s="95">
        <v>3164.3</v>
      </c>
      <c r="AX7" s="95">
        <v>4865.6</v>
      </c>
      <c r="AY7" s="95">
        <v>4466.4</v>
      </c>
      <c r="AZ7" s="95">
        <v>5690</v>
      </c>
      <c r="BA7" s="95">
        <v>6260.1</v>
      </c>
      <c r="BB7" s="95">
        <v>5643.8</v>
      </c>
      <c r="BC7" s="96">
        <v>6085.3</v>
      </c>
    </row>
    <row r="8" spans="2:55" ht="19.5" customHeight="1">
      <c r="B8" s="86" t="s">
        <v>30</v>
      </c>
      <c r="C8" s="100"/>
      <c r="D8" s="100">
        <f>D7-C7</f>
        <v>-407.60340015999964</v>
      </c>
      <c r="E8" s="100">
        <f>E7-D7</f>
        <v>84.65037045999998</v>
      </c>
      <c r="F8" s="100">
        <f>F7-E7</f>
        <v>-159.12383877000048</v>
      </c>
      <c r="G8" s="100">
        <f aca="true" t="shared" si="0" ref="G8:AG8">G7-F7</f>
        <v>52.4365916200004</v>
      </c>
      <c r="H8" s="100">
        <f t="shared" si="0"/>
        <v>-36.20000000000027</v>
      </c>
      <c r="I8" s="100">
        <f t="shared" si="0"/>
        <v>-238.5999999999999</v>
      </c>
      <c r="J8" s="100">
        <f t="shared" si="0"/>
        <v>290.1999999999998</v>
      </c>
      <c r="K8" s="100">
        <f t="shared" si="0"/>
        <v>286.7000000000003</v>
      </c>
      <c r="L8" s="100">
        <f t="shared" si="0"/>
        <v>-376.9000000000001</v>
      </c>
      <c r="M8" s="100">
        <f t="shared" si="0"/>
        <v>19.300000000000182</v>
      </c>
      <c r="N8" s="100">
        <f t="shared" si="0"/>
        <v>600.5702829799993</v>
      </c>
      <c r="O8" s="101">
        <f t="shared" si="0"/>
        <v>-775.4572999099996</v>
      </c>
      <c r="P8" s="96">
        <f t="shared" si="0"/>
        <v>-111.30871772000023</v>
      </c>
      <c r="Q8" s="96">
        <f t="shared" si="0"/>
        <v>571.4957346500003</v>
      </c>
      <c r="R8" s="96">
        <f t="shared" si="0"/>
        <v>-535.1999999999998</v>
      </c>
      <c r="S8" s="96">
        <f t="shared" si="0"/>
        <v>-77.20000000000005</v>
      </c>
      <c r="T8" s="96">
        <f t="shared" si="0"/>
        <v>201.39999999999986</v>
      </c>
      <c r="U8" s="96">
        <f t="shared" si="0"/>
        <v>5.300000000000182</v>
      </c>
      <c r="V8" s="96">
        <f t="shared" si="0"/>
        <v>-181.70000000000005</v>
      </c>
      <c r="W8" s="96">
        <f t="shared" si="0"/>
        <v>399.39999999999986</v>
      </c>
      <c r="X8" s="96">
        <f t="shared" si="0"/>
        <v>-219.69999999999982</v>
      </c>
      <c r="Y8" s="96">
        <f t="shared" si="0"/>
        <v>-10.600000000000136</v>
      </c>
      <c r="Z8" s="96">
        <f t="shared" si="0"/>
        <v>350.20000000000005</v>
      </c>
      <c r="AA8" s="96">
        <f t="shared" si="0"/>
        <v>-298</v>
      </c>
      <c r="AB8" s="96">
        <f t="shared" si="0"/>
        <v>-116.90000000000009</v>
      </c>
      <c r="AC8" s="96">
        <f t="shared" si="0"/>
        <v>391.2000000000003</v>
      </c>
      <c r="AD8" s="96">
        <f t="shared" si="0"/>
        <v>-196.70000000000027</v>
      </c>
      <c r="AE8" s="96">
        <f t="shared" si="0"/>
        <v>-233</v>
      </c>
      <c r="AF8" s="96">
        <f t="shared" si="0"/>
        <v>480.5999999999999</v>
      </c>
      <c r="AG8" s="96">
        <f t="shared" si="0"/>
        <v>-195.5999999999999</v>
      </c>
      <c r="AH8" s="96">
        <f aca="true" t="shared" si="1" ref="AH8:BC8">AH7-AG7</f>
        <v>-340.89999999999986</v>
      </c>
      <c r="AI8" s="96">
        <f t="shared" si="1"/>
        <v>426.79999999999995</v>
      </c>
      <c r="AJ8" s="96">
        <f t="shared" si="1"/>
        <v>-342.77754000000004</v>
      </c>
      <c r="AK8" s="96">
        <f t="shared" si="1"/>
        <v>81.67754000000014</v>
      </c>
      <c r="AL8" s="96">
        <f t="shared" si="1"/>
        <v>721.5999999999999</v>
      </c>
      <c r="AM8" s="96">
        <f t="shared" si="1"/>
        <v>-9.5</v>
      </c>
      <c r="AN8" s="96">
        <f t="shared" si="1"/>
        <v>-237.9000000000001</v>
      </c>
      <c r="AO8" s="96">
        <f t="shared" si="1"/>
        <v>671.5999999999999</v>
      </c>
      <c r="AP8" s="96">
        <f t="shared" si="1"/>
        <v>-156.69999999999982</v>
      </c>
      <c r="AQ8" s="96">
        <f t="shared" si="1"/>
        <v>-295.0999999999999</v>
      </c>
      <c r="AR8" s="96">
        <f t="shared" si="1"/>
        <v>635.1999999999998</v>
      </c>
      <c r="AS8" s="96">
        <f t="shared" si="1"/>
        <v>-552.4000000000001</v>
      </c>
      <c r="AT8" s="96">
        <f t="shared" si="1"/>
        <v>358.5</v>
      </c>
      <c r="AU8" s="96">
        <f t="shared" si="1"/>
        <v>985.1999999999998</v>
      </c>
      <c r="AV8" s="96">
        <f t="shared" si="1"/>
        <v>-609.1999999999998</v>
      </c>
      <c r="AW8" s="96">
        <f t="shared" si="1"/>
        <v>-330.89999999999964</v>
      </c>
      <c r="AX8" s="96">
        <f t="shared" si="1"/>
        <v>1701.3000000000002</v>
      </c>
      <c r="AY8" s="96">
        <f t="shared" si="1"/>
        <v>-399.2000000000007</v>
      </c>
      <c r="AZ8" s="96">
        <f t="shared" si="1"/>
        <v>1223.6000000000004</v>
      </c>
      <c r="BA8" s="96">
        <f t="shared" si="1"/>
        <v>570.1000000000004</v>
      </c>
      <c r="BB8" s="96">
        <f t="shared" si="1"/>
        <v>-616.3000000000002</v>
      </c>
      <c r="BC8" s="96">
        <f t="shared" si="1"/>
        <v>441.5</v>
      </c>
    </row>
    <row r="9" spans="2:55" ht="19.5" customHeight="1">
      <c r="B9" s="86"/>
      <c r="C9" s="87"/>
      <c r="D9" s="87"/>
      <c r="E9" s="87"/>
      <c r="F9" s="89"/>
      <c r="G9" s="89"/>
      <c r="H9" s="89"/>
      <c r="I9" s="89"/>
      <c r="J9" s="89"/>
      <c r="K9" s="89"/>
      <c r="L9" s="89"/>
      <c r="M9" s="90"/>
      <c r="N9" s="89"/>
      <c r="O9" s="91"/>
      <c r="P9" s="92"/>
      <c r="Q9" s="89"/>
      <c r="R9" s="92"/>
      <c r="S9" s="92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</row>
    <row r="10" spans="2:55" ht="19.5" customHeight="1">
      <c r="B10" s="86" t="s">
        <v>44</v>
      </c>
      <c r="C10" s="87"/>
      <c r="D10" s="87"/>
      <c r="E10" s="87"/>
      <c r="F10" s="89"/>
      <c r="G10" s="89"/>
      <c r="H10" s="89"/>
      <c r="I10" s="89"/>
      <c r="J10" s="89"/>
      <c r="K10" s="89"/>
      <c r="L10" s="89"/>
      <c r="M10" s="90"/>
      <c r="N10" s="89"/>
      <c r="O10" s="91"/>
      <c r="P10" s="92"/>
      <c r="Q10" s="89"/>
      <c r="R10" s="92"/>
      <c r="S10" s="92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</row>
    <row r="11" spans="2:55" ht="19.5" customHeight="1">
      <c r="B11" s="86"/>
      <c r="C11" s="87"/>
      <c r="D11" s="87"/>
      <c r="E11" s="87"/>
      <c r="F11" s="89"/>
      <c r="G11" s="89"/>
      <c r="H11" s="89"/>
      <c r="I11" s="89"/>
      <c r="J11" s="89"/>
      <c r="K11" s="89"/>
      <c r="L11" s="89"/>
      <c r="M11" s="90"/>
      <c r="N11" s="89"/>
      <c r="O11" s="91"/>
      <c r="P11" s="92"/>
      <c r="Q11" s="89"/>
      <c r="R11" s="92"/>
      <c r="S11" s="92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</row>
    <row r="12" spans="2:55" ht="19.5" customHeight="1">
      <c r="B12" s="86" t="s">
        <v>31</v>
      </c>
      <c r="C12" s="87"/>
      <c r="D12" s="87">
        <v>8.0439</v>
      </c>
      <c r="E12" s="87">
        <v>7.7068</v>
      </c>
      <c r="F12" s="102">
        <v>7.6652</v>
      </c>
      <c r="G12" s="102">
        <v>7.9027</v>
      </c>
      <c r="H12" s="102">
        <v>7.5401</v>
      </c>
      <c r="I12" s="89">
        <v>7.3922</v>
      </c>
      <c r="J12" s="89">
        <v>7.3246</v>
      </c>
      <c r="K12" s="89">
        <v>6.9637</v>
      </c>
      <c r="L12" s="89">
        <v>6.7287</v>
      </c>
      <c r="M12" s="90">
        <v>6.5159</v>
      </c>
      <c r="N12" s="89">
        <v>6.9179</v>
      </c>
      <c r="O12" s="90">
        <v>6.7686</v>
      </c>
      <c r="P12" s="89">
        <v>6.6633</v>
      </c>
      <c r="Q12" s="89">
        <v>6.5537</v>
      </c>
      <c r="R12" s="89">
        <v>6.7821</v>
      </c>
      <c r="S12" s="89">
        <v>6.4381</v>
      </c>
      <c r="T12" s="103">
        <v>6.1287</v>
      </c>
      <c r="U12" s="89">
        <v>6.4575</v>
      </c>
      <c r="V12" s="89">
        <v>6.5469</v>
      </c>
      <c r="W12" s="89">
        <v>6.3876</v>
      </c>
      <c r="X12" s="89">
        <v>6.0558</v>
      </c>
      <c r="Y12" s="89">
        <v>5.7323</v>
      </c>
      <c r="Z12" s="89">
        <v>5.9698</v>
      </c>
      <c r="AA12" s="89">
        <v>6.0161</v>
      </c>
      <c r="AB12" s="89">
        <v>6.323</v>
      </c>
      <c r="AC12" s="89">
        <v>6.1521</v>
      </c>
      <c r="AD12" s="89">
        <v>6.3314</v>
      </c>
      <c r="AE12" s="103">
        <v>6.75</v>
      </c>
      <c r="AF12" s="103">
        <v>6.7035</v>
      </c>
      <c r="AG12" s="103">
        <v>6.465</v>
      </c>
      <c r="AH12" s="103">
        <v>6.3578</v>
      </c>
      <c r="AI12" s="103">
        <v>6.5766</v>
      </c>
      <c r="AJ12" s="103">
        <v>6.521</v>
      </c>
      <c r="AK12" s="103">
        <v>6.3591</v>
      </c>
      <c r="AL12" s="103">
        <v>6.0891</v>
      </c>
      <c r="AM12" s="103">
        <v>6.1177</v>
      </c>
      <c r="AN12" s="103">
        <v>6.2544</v>
      </c>
      <c r="AO12" s="103">
        <v>6.072</v>
      </c>
      <c r="AP12" s="103">
        <v>6.3199</v>
      </c>
      <c r="AQ12" s="103">
        <v>6.9549</v>
      </c>
      <c r="AR12" s="103">
        <v>7.0843</v>
      </c>
      <c r="AS12" s="103">
        <v>6.9553</v>
      </c>
      <c r="AT12" s="103">
        <v>7.4098</v>
      </c>
      <c r="AU12" s="103">
        <v>7.6492</v>
      </c>
      <c r="AV12" s="103">
        <v>7.2586</v>
      </c>
      <c r="AW12" s="103">
        <v>7.0406</v>
      </c>
      <c r="AX12" s="103">
        <v>7.1838</v>
      </c>
      <c r="AY12" s="103">
        <v>7.1698</v>
      </c>
      <c r="AZ12" s="103">
        <v>7.3514</v>
      </c>
      <c r="BA12" s="103">
        <v>7.1216</v>
      </c>
      <c r="BB12" s="103">
        <v>7.0187</v>
      </c>
      <c r="BC12" s="103">
        <v>7.1718</v>
      </c>
    </row>
    <row r="13" spans="2:55" ht="19.5" customHeight="1">
      <c r="B13" s="86" t="s">
        <v>32</v>
      </c>
      <c r="C13" s="104"/>
      <c r="D13" s="104">
        <f>1/8.0439</f>
        <v>0.124317806039359</v>
      </c>
      <c r="E13" s="104">
        <f>1/7.7068</f>
        <v>0.12975554056158198</v>
      </c>
      <c r="F13" s="105">
        <f>1/7.6652</f>
        <v>0.13045974012419767</v>
      </c>
      <c r="G13" s="105">
        <f>1/7.9027</f>
        <v>0.12653903096410088</v>
      </c>
      <c r="H13" s="105">
        <f>1/7.5401</f>
        <v>0.1326242357528415</v>
      </c>
      <c r="I13" s="105">
        <f>1/7.3922</f>
        <v>0.13527772516977354</v>
      </c>
      <c r="J13" s="105">
        <f>1/7.3246</f>
        <v>0.1365262266881468</v>
      </c>
      <c r="K13" s="105">
        <f>1/6.9637</f>
        <v>0.14360182087108864</v>
      </c>
      <c r="L13" s="105">
        <f>1/6.7287</f>
        <v>0.14861711771961894</v>
      </c>
      <c r="M13" s="105">
        <f>1/6.5159</f>
        <v>0.15347074080326586</v>
      </c>
      <c r="N13" s="105">
        <f>1/6.9179</f>
        <v>0.14455253761979792</v>
      </c>
      <c r="O13" s="106">
        <f>1/6.7686</f>
        <v>0.14774103950595396</v>
      </c>
      <c r="P13" s="105">
        <f>1/6.6633</f>
        <v>0.1500757882730779</v>
      </c>
      <c r="Q13" s="105">
        <f>1/6.5537</f>
        <v>0.15258556235409004</v>
      </c>
      <c r="R13" s="105">
        <f>1/6.7821</f>
        <v>0.14744695595759427</v>
      </c>
      <c r="S13" s="105">
        <f>1/6.4381</f>
        <v>0.15532532890138395</v>
      </c>
      <c r="T13" s="105">
        <f>1/6.1287</f>
        <v>0.1631667400916997</v>
      </c>
      <c r="U13" s="105">
        <f>1/6.4575</f>
        <v>0.1548586914440573</v>
      </c>
      <c r="V13" s="105">
        <f>1/6.5469</f>
        <v>0.15274404680077594</v>
      </c>
      <c r="W13" s="105">
        <f>1/6.3876</f>
        <v>0.15655332206149414</v>
      </c>
      <c r="X13" s="105">
        <f>1/6.0558</f>
        <v>0.16513094884243207</v>
      </c>
      <c r="Y13" s="105">
        <f>1/5.7323</f>
        <v>0.17445004622926225</v>
      </c>
      <c r="Z13" s="105">
        <f>1/5.9698</f>
        <v>0.1675097993232604</v>
      </c>
      <c r="AA13" s="105">
        <f>1/6.0161</f>
        <v>0.16622064127923405</v>
      </c>
      <c r="AB13" s="105">
        <f>1/6.0101</f>
        <v>0.16638658258598024</v>
      </c>
      <c r="AC13" s="105">
        <f>1/6.1521</f>
        <v>0.16254612246224867</v>
      </c>
      <c r="AD13" s="105">
        <f>1/6.3314</f>
        <v>0.1579429510060966</v>
      </c>
      <c r="AE13" s="105">
        <f>1/6.75</f>
        <v>0.14814814814814814</v>
      </c>
      <c r="AF13" s="105">
        <f>1/6.7035</f>
        <v>0.14917580368464234</v>
      </c>
      <c r="AG13" s="105">
        <f>1/6.465</f>
        <v>0.15467904098994587</v>
      </c>
      <c r="AH13" s="105">
        <f>1/6.3578</f>
        <v>0.1572871118940514</v>
      </c>
      <c r="AI13" s="105">
        <f>1/6.5766</f>
        <v>0.15205425295745523</v>
      </c>
      <c r="AJ13" s="105">
        <f>1/6.521</f>
        <v>0.15335071308081583</v>
      </c>
      <c r="AK13" s="105">
        <f>1/6.3591</f>
        <v>0.157254957462534</v>
      </c>
      <c r="AL13" s="105">
        <f>1/6.0891</f>
        <v>0.1642278826099095</v>
      </c>
      <c r="AM13" s="105">
        <f>1/6.1177</f>
        <v>0.16346012390277392</v>
      </c>
      <c r="AN13" s="105">
        <f>1/6.2544</f>
        <v>0.15988743924277307</v>
      </c>
      <c r="AO13" s="105">
        <f>1/6.072</f>
        <v>0.16469038208168643</v>
      </c>
      <c r="AP13" s="105">
        <f>1/6.3199</f>
        <v>0.15823035174607195</v>
      </c>
      <c r="AQ13" s="105">
        <f>1/6.9549</f>
        <v>0.14378351953299112</v>
      </c>
      <c r="AR13" s="105">
        <f>1/7.0843</f>
        <v>0.14115720678119223</v>
      </c>
      <c r="AS13" s="105">
        <f>1/6.9553</f>
        <v>0.14377525052837403</v>
      </c>
      <c r="AT13" s="105">
        <f>1/7.4098</f>
        <v>0.1349564090798672</v>
      </c>
      <c r="AU13" s="105">
        <f>1/7.6492</f>
        <v>0.13073262563405322</v>
      </c>
      <c r="AV13" s="105">
        <f>1/7.2586</f>
        <v>0.1377676135893974</v>
      </c>
      <c r="AW13" s="105">
        <f>1/7.0406</f>
        <v>0.14203334943044627</v>
      </c>
      <c r="AX13" s="105">
        <f>1/7.1838</f>
        <v>0.13920209359948774</v>
      </c>
      <c r="AY13" s="105">
        <f>1/7.1698</f>
        <v>0.13947390443248067</v>
      </c>
      <c r="AZ13" s="105">
        <f>1/7.3514</f>
        <v>0.13602851157602633</v>
      </c>
      <c r="BA13" s="105">
        <f>1/7.1216</f>
        <v>0.14041788362165805</v>
      </c>
      <c r="BB13" s="105">
        <f>1/7.0187</f>
        <v>0.14247652699217803</v>
      </c>
      <c r="BC13" s="105">
        <f>1/7.1718</f>
        <v>0.13943500934214562</v>
      </c>
    </row>
    <row r="14" spans="2:55" ht="19.5" customHeight="1">
      <c r="B14" s="86" t="s">
        <v>33</v>
      </c>
      <c r="C14" s="87"/>
      <c r="D14" s="87"/>
      <c r="E14" s="87"/>
      <c r="F14" s="102"/>
      <c r="G14" s="102"/>
      <c r="H14" s="102"/>
      <c r="I14" s="89"/>
      <c r="J14" s="89"/>
      <c r="K14" s="89"/>
      <c r="L14" s="89"/>
      <c r="M14" s="90"/>
      <c r="N14" s="89"/>
      <c r="O14" s="91"/>
      <c r="P14" s="92"/>
      <c r="Q14" s="89"/>
      <c r="R14" s="92"/>
      <c r="S14" s="92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</row>
    <row r="15" spans="2:55" ht="19.5" customHeight="1">
      <c r="B15" s="86" t="s">
        <v>34</v>
      </c>
      <c r="C15" s="104"/>
      <c r="D15" s="104">
        <f>1/12.7437</f>
        <v>0.07847014603294176</v>
      </c>
      <c r="E15" s="104">
        <f>1/12.124</f>
        <v>0.08248102936324644</v>
      </c>
      <c r="F15" s="105">
        <f>1/12.4393</f>
        <v>0.08039037566422548</v>
      </c>
      <c r="G15" s="105">
        <f>1/13.1219</f>
        <v>0.07620847590669035</v>
      </c>
      <c r="H15" s="105">
        <f>1/12.26</f>
        <v>0.08156606851549755</v>
      </c>
      <c r="I15" s="105">
        <f>1/11.7868</f>
        <v>0.08484066922319884</v>
      </c>
      <c r="J15" s="105">
        <f>1/11.702</f>
        <v>0.08545547769612032</v>
      </c>
      <c r="K15" s="105">
        <f>1/11.6744</f>
        <v>0.08565750702391557</v>
      </c>
      <c r="L15" s="105">
        <f>1/11.3692</f>
        <v>0.08795693628399535</v>
      </c>
      <c r="M15" s="105">
        <f>1/11.3073</f>
        <v>0.08843844242215207</v>
      </c>
      <c r="N15" s="105">
        <f>1/12.5935</f>
        <v>0.07940604279985707</v>
      </c>
      <c r="O15" s="106">
        <f>1/12.6411</f>
        <v>0.07910703973546607</v>
      </c>
      <c r="P15" s="105">
        <f>1/12.1204</f>
        <v>0.08250552787036732</v>
      </c>
      <c r="Q15" s="105">
        <f>1/11.8224</f>
        <v>0.08458519420760591</v>
      </c>
      <c r="R15" s="105">
        <f>1/12.1262</f>
        <v>0.08246606521416437</v>
      </c>
      <c r="S15" s="105">
        <f>1/11.7619</f>
        <v>0.08502027733614466</v>
      </c>
      <c r="T15" s="105">
        <f>1/11.2923</f>
        <v>0.08855591863482197</v>
      </c>
      <c r="U15" s="105">
        <f>1/11.7446</f>
        <v>0.08514551368288405</v>
      </c>
      <c r="V15" s="105">
        <f>1/11.736</f>
        <v>0.08520790729379686</v>
      </c>
      <c r="W15" s="105">
        <f>1/11.5461</f>
        <v>0.08660933128935312</v>
      </c>
      <c r="X15" s="105">
        <f>1/11.2483</f>
        <v>0.08890232301770044</v>
      </c>
      <c r="Y15" s="105">
        <f>1/11.601</f>
        <v>0.0861994655633135</v>
      </c>
      <c r="Z15" s="105">
        <f>1/11.2168</f>
        <v>0.08915198630625491</v>
      </c>
      <c r="AA15" s="105">
        <f>1/11.3535</f>
        <v>0.08807856608094419</v>
      </c>
      <c r="AB15" s="105">
        <f>1/11.8847</f>
        <v>0.08414179575420498</v>
      </c>
      <c r="AC15" s="105">
        <f>1/11.6567</f>
        <v>0.08578757281220242</v>
      </c>
      <c r="AD15" s="105">
        <f>1/11.7446</f>
        <v>0.08514551368288405</v>
      </c>
      <c r="AE15" s="105">
        <f>1/12.282</f>
        <v>0.08141996417521576</v>
      </c>
      <c r="AF15" s="105">
        <f>1/11.7407</f>
        <v>0.08517379713304998</v>
      </c>
      <c r="AG15" s="105">
        <f>1/11.5992</f>
        <v>0.0862128422649838</v>
      </c>
      <c r="AH15" s="105">
        <f>1/11.4978</f>
        <v>0.08697316008279846</v>
      </c>
      <c r="AI15" s="105">
        <f>1/11.5989</f>
        <v>0.08621507211890782</v>
      </c>
      <c r="AJ15" s="105">
        <f>1/11.2213</f>
        <v>0.08911623430440324</v>
      </c>
      <c r="AK15" s="105">
        <f>1/11.1059</f>
        <v>0.0900422298057789</v>
      </c>
      <c r="AL15" s="105">
        <f>1/10.7529</f>
        <v>0.09299816793609166</v>
      </c>
      <c r="AM15" s="105">
        <f>1/10.6948</f>
        <v>0.09350338482253057</v>
      </c>
      <c r="AN15" s="105">
        <f>1/10.907</f>
        <v>0.09168423947923351</v>
      </c>
      <c r="AO15" s="105">
        <f>1/10.7206</f>
        <v>0.09327836128574894</v>
      </c>
      <c r="AP15" s="105">
        <f>1/11.806</f>
        <v>0.08470269354565475</v>
      </c>
      <c r="AQ15" s="105">
        <f>1/12.8291</f>
        <v>0.07794779056987629</v>
      </c>
      <c r="AR15" s="105">
        <f>1/13.0643</f>
        <v>0.07654447616787735</v>
      </c>
      <c r="AS15" s="105">
        <f>1/13.1608</f>
        <v>0.07598322290438271</v>
      </c>
      <c r="AT15" s="105">
        <f>1/13.9706</f>
        <v>0.07157888709146351</v>
      </c>
      <c r="AU15" s="105">
        <f>1/14.3415</f>
        <v>0.069727713279643</v>
      </c>
      <c r="AV15" s="105">
        <f>1/13.8728</f>
        <v>0.07208350152817024</v>
      </c>
      <c r="AW15" s="105">
        <f>1/13.8362</f>
        <v>0.07227417932669375</v>
      </c>
      <c r="AX15" s="105">
        <f>1/14.0828</f>
        <v>0.07100860624307666</v>
      </c>
      <c r="AY15" s="105">
        <f>1/14.0398</f>
        <v>0.07122608584167865</v>
      </c>
      <c r="AZ15" s="105">
        <f>1/14.3044</f>
        <v>0.06990855960403793</v>
      </c>
      <c r="BA15" s="105">
        <f>1/14.1669</f>
        <v>0.07058707268350874</v>
      </c>
      <c r="BB15" s="105">
        <f>1/13.9229</f>
        <v>0.07182411710204052</v>
      </c>
      <c r="BC15" s="105">
        <f>1/14.2416</f>
        <v>0.07021682956971127</v>
      </c>
    </row>
    <row r="16" spans="2:55" ht="19.5" customHeight="1">
      <c r="B16" s="86" t="s">
        <v>35</v>
      </c>
      <c r="C16" s="104"/>
      <c r="D16" s="104">
        <f>1/0.0679</f>
        <v>14.727540500736376</v>
      </c>
      <c r="E16" s="104">
        <f>1/0.0642</f>
        <v>15.576323987538942</v>
      </c>
      <c r="F16" s="105">
        <f>1/0.0654</f>
        <v>15.290519877675841</v>
      </c>
      <c r="G16" s="105">
        <f>1/0.0668</f>
        <v>14.970059880239521</v>
      </c>
      <c r="H16" s="105">
        <f>1/0.0636</f>
        <v>15.723270440251572</v>
      </c>
      <c r="I16" s="105">
        <f>1/0.0622</f>
        <v>16.077170418006432</v>
      </c>
      <c r="J16" s="105">
        <f>1/0.0636</f>
        <v>15.723270440251572</v>
      </c>
      <c r="K16" s="105">
        <f>1/0.0636</f>
        <v>15.723270440251572</v>
      </c>
      <c r="L16" s="105">
        <f>1/0.0616</f>
        <v>16.233766233766232</v>
      </c>
      <c r="M16" s="105">
        <f>1/0.0604</f>
        <v>16.556291390728475</v>
      </c>
      <c r="N16" s="105">
        <f>1/0.065</f>
        <v>15.384615384615383</v>
      </c>
      <c r="O16" s="106">
        <f>1/0.0695</f>
        <v>14.388489208633093</v>
      </c>
      <c r="P16" s="105">
        <f>1/0.0611</f>
        <v>16.366612111292962</v>
      </c>
      <c r="Q16" s="105">
        <f>1/0.061</f>
        <v>16.39344262295082</v>
      </c>
      <c r="R16" s="105">
        <f>1/0.0606</f>
        <v>16.5016501650165</v>
      </c>
      <c r="S16" s="105">
        <f>1/0.0588</f>
        <v>17.006802721088437</v>
      </c>
      <c r="T16" s="105">
        <f>1/0.0561</f>
        <v>17.825311942959004</v>
      </c>
      <c r="U16" s="105">
        <f>1/0.0505</f>
        <v>19.801980198019802</v>
      </c>
      <c r="V16" s="105">
        <f>1/0.0595</f>
        <v>16.80672268907563</v>
      </c>
      <c r="W16" s="105">
        <f>1/0.0587</f>
        <v>17.035775127768314</v>
      </c>
      <c r="X16" s="105">
        <f>1/0.0578</f>
        <v>17.301038062283737</v>
      </c>
      <c r="Y16" s="105">
        <f>1/0.052</f>
        <v>19.23076923076923</v>
      </c>
      <c r="Z16" s="105">
        <f>1/0.0578</f>
        <v>17.301038062283737</v>
      </c>
      <c r="AA16" s="105">
        <f>1/0.0574</f>
        <v>17.421602787456447</v>
      </c>
      <c r="AB16" s="105">
        <f>1/0.0572</f>
        <v>17.482517482517483</v>
      </c>
      <c r="AC16" s="105">
        <f>1/0.0572</f>
        <v>17.482517482517483</v>
      </c>
      <c r="AD16" s="105">
        <f>1/0.0594</f>
        <v>16.835016835016834</v>
      </c>
      <c r="AE16" s="105">
        <f>1/0.0621</f>
        <v>16.10305958132045</v>
      </c>
      <c r="AF16" s="105">
        <f>1/0.0599</f>
        <v>16.69449081803005</v>
      </c>
      <c r="AG16" s="105">
        <f>1/0.0585</f>
        <v>17.094017094017094</v>
      </c>
      <c r="AH16" s="105">
        <f>1/0.0573</f>
        <v>17.452006980802793</v>
      </c>
      <c r="AI16" s="105">
        <f>1/0.0573</f>
        <v>17.452006980802793</v>
      </c>
      <c r="AJ16" s="105">
        <f>1/0.0545</f>
        <v>18.34862385321101</v>
      </c>
      <c r="AK16" s="105">
        <f>1/0.0536</f>
        <v>18.65671641791045</v>
      </c>
      <c r="AL16" s="105">
        <f>1/0.0528</f>
        <v>18.93939393939394</v>
      </c>
      <c r="AM16" s="105">
        <f>1/0.0519</f>
        <v>19.267822736030826</v>
      </c>
      <c r="AN16" s="105">
        <f>1/0.0533</f>
        <v>18.76172607879925</v>
      </c>
      <c r="AO16" s="105">
        <f>1/0.0518</f>
        <v>19.305019305019304</v>
      </c>
      <c r="AP16" s="105">
        <f>1/0.0566</f>
        <v>17.6678445229682</v>
      </c>
      <c r="AQ16" s="105">
        <f>1/0.0607</f>
        <v>16.474464579901156</v>
      </c>
      <c r="AR16" s="105">
        <f>1/0.0613</f>
        <v>16.31321370309951</v>
      </c>
      <c r="AS16" s="105">
        <f>1/0.06</f>
        <v>16.666666666666668</v>
      </c>
      <c r="AT16" s="105">
        <f>1/0.0633</f>
        <v>15.797788309636653</v>
      </c>
      <c r="AU16" s="105">
        <f>1/0.0645</f>
        <v>15.503875968992247</v>
      </c>
      <c r="AV16" s="105">
        <f>1/0.0619</f>
        <v>16.155088852988694</v>
      </c>
      <c r="AW16" s="105">
        <f>1/0.0601</f>
        <v>16.638935108153078</v>
      </c>
      <c r="AX16" s="105">
        <f>1/0.0597</f>
        <v>16.75041876046901</v>
      </c>
      <c r="AY16" s="105">
        <f>1/0.0595</f>
        <v>16.80672268907563</v>
      </c>
      <c r="AZ16" s="105">
        <f>1/0.0627</f>
        <v>15.948963317384369</v>
      </c>
      <c r="BA16" s="105">
        <f>1/0.06</f>
        <v>16.666666666666668</v>
      </c>
      <c r="BB16" s="105">
        <f>1/0.0581</f>
        <v>17.21170395869191</v>
      </c>
      <c r="BC16" s="105">
        <f>1/0.0585</f>
        <v>17.094017094017094</v>
      </c>
    </row>
    <row r="17" spans="2:55" ht="19.5" customHeight="1">
      <c r="B17" s="86" t="s">
        <v>36</v>
      </c>
      <c r="C17" s="107"/>
      <c r="D17" s="107"/>
      <c r="E17" s="107"/>
      <c r="F17" s="89"/>
      <c r="G17" s="89"/>
      <c r="H17" s="89"/>
      <c r="I17" s="89"/>
      <c r="J17" s="89"/>
      <c r="K17" s="89"/>
      <c r="L17" s="89"/>
      <c r="M17" s="89"/>
      <c r="N17" s="89"/>
      <c r="O17" s="91"/>
      <c r="P17" s="92"/>
      <c r="Q17" s="89"/>
      <c r="R17" s="92"/>
      <c r="S17" s="92"/>
      <c r="T17" s="92"/>
      <c r="U17" s="92"/>
      <c r="V17" s="92"/>
      <c r="W17" s="92"/>
      <c r="X17" s="92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</row>
    <row r="18" spans="2:55" ht="19.5" customHeight="1">
      <c r="B18" s="80"/>
      <c r="C18" s="108"/>
      <c r="D18" s="108"/>
      <c r="E18" s="109"/>
      <c r="F18" s="81"/>
      <c r="G18" s="81"/>
      <c r="H18" s="81"/>
      <c r="I18" s="110"/>
      <c r="J18" s="110"/>
      <c r="K18" s="81"/>
      <c r="L18" s="81"/>
      <c r="M18" s="84"/>
      <c r="N18" s="110"/>
      <c r="O18" s="84"/>
      <c r="P18" s="82"/>
      <c r="Q18" s="81"/>
      <c r="R18" s="82"/>
      <c r="S18" s="82"/>
      <c r="T18" s="85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</row>
    <row r="19" spans="2:55" ht="19.5" customHeight="1">
      <c r="B19" s="80"/>
      <c r="C19" s="108"/>
      <c r="D19" s="108"/>
      <c r="E19" s="80"/>
      <c r="F19" s="81"/>
      <c r="G19" s="81"/>
      <c r="H19" s="81"/>
      <c r="I19" s="82"/>
      <c r="J19" s="82"/>
      <c r="K19" s="81"/>
      <c r="L19" s="81"/>
      <c r="M19" s="83"/>
      <c r="N19" s="82"/>
      <c r="O19" s="84"/>
      <c r="P19" s="82"/>
      <c r="Q19" s="81"/>
      <c r="R19" s="82"/>
      <c r="S19" s="82"/>
      <c r="T19" s="85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</row>
    <row r="20" spans="2:55" ht="19.5" customHeight="1">
      <c r="B20" s="111" t="s">
        <v>38</v>
      </c>
      <c r="C20" s="108"/>
      <c r="D20" s="108"/>
      <c r="E20" s="80"/>
      <c r="F20" s="81"/>
      <c r="G20" s="81"/>
      <c r="H20" s="81"/>
      <c r="I20" s="82"/>
      <c r="J20" s="82"/>
      <c r="K20" s="81"/>
      <c r="L20" s="81"/>
      <c r="M20" s="83"/>
      <c r="N20" s="82"/>
      <c r="O20" s="84"/>
      <c r="P20" s="82"/>
      <c r="Q20" s="81"/>
      <c r="R20" s="82"/>
      <c r="S20" s="82"/>
      <c r="T20" s="85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</row>
    <row r="21" spans="2:55" ht="19.5" customHeight="1" thickBot="1">
      <c r="B21" s="112" t="s">
        <v>37</v>
      </c>
      <c r="C21" s="113"/>
      <c r="D21" s="113"/>
      <c r="E21" s="114"/>
      <c r="F21" s="115"/>
      <c r="G21" s="115"/>
      <c r="H21" s="115"/>
      <c r="I21" s="116"/>
      <c r="J21" s="116"/>
      <c r="K21" s="115"/>
      <c r="L21" s="115"/>
      <c r="M21" s="117"/>
      <c r="N21" s="116"/>
      <c r="O21" s="118"/>
      <c r="P21" s="116"/>
      <c r="Q21" s="115"/>
      <c r="R21" s="116"/>
      <c r="S21" s="116"/>
      <c r="T21" s="119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</row>
    <row r="22" ht="19.5" customHeight="1">
      <c r="B22" s="127" t="s">
        <v>147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O73"/>
  <sheetViews>
    <sheetView showGridLines="0" zoomScale="75" zoomScaleNormal="75" zoomScaleSheetLayoutView="50" zoomScalePageLayoutView="0" workbookViewId="0" topLeftCell="A42">
      <selection activeCell="A3" sqref="A3:P75"/>
    </sheetView>
  </sheetViews>
  <sheetFormatPr defaultColWidth="9.140625" defaultRowHeight="12"/>
  <cols>
    <col min="11" max="11" width="8.7109375" style="0" customWidth="1"/>
  </cols>
  <sheetData>
    <row r="2" spans="1:15" ht="12.7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17"/>
      <c r="L2" s="17"/>
      <c r="M2" s="17"/>
      <c r="N2" s="17"/>
      <c r="O2" s="17"/>
    </row>
    <row r="3" spans="1:15" ht="13.5" customHeight="1">
      <c r="A3" s="18"/>
      <c r="B3" s="14"/>
      <c r="C3" s="19"/>
      <c r="D3" s="19"/>
      <c r="E3" s="19"/>
      <c r="F3" s="19"/>
      <c r="G3" s="19"/>
      <c r="H3" s="19"/>
      <c r="I3" s="18"/>
      <c r="J3" s="18"/>
      <c r="K3" s="17"/>
      <c r="L3" s="17"/>
      <c r="M3" s="17"/>
      <c r="N3" s="17"/>
      <c r="O3" s="17"/>
    </row>
    <row r="4" spans="1:15" ht="15.75">
      <c r="A4" s="235" t="s">
        <v>161</v>
      </c>
      <c r="B4" s="235"/>
      <c r="C4" s="235"/>
      <c r="D4" s="235"/>
      <c r="E4" s="235"/>
      <c r="F4" s="235"/>
      <c r="G4" s="235"/>
      <c r="H4" s="235"/>
      <c r="I4" s="235"/>
      <c r="J4" s="235"/>
      <c r="K4" s="20"/>
      <c r="L4" s="17"/>
      <c r="M4" s="17"/>
      <c r="N4" s="17"/>
      <c r="O4" s="17"/>
    </row>
    <row r="5" spans="1:15" ht="12.75">
      <c r="A5" s="21"/>
      <c r="B5" s="22"/>
      <c r="C5" s="22"/>
      <c r="D5" s="22"/>
      <c r="E5" s="22"/>
      <c r="F5" s="22"/>
      <c r="G5" s="22"/>
      <c r="H5" s="22"/>
      <c r="I5" s="22"/>
      <c r="J5" s="22"/>
      <c r="K5" s="20"/>
      <c r="L5" s="17"/>
      <c r="M5" s="17"/>
      <c r="N5" s="17"/>
      <c r="O5" s="17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5.75">
      <c r="A38" s="235" t="s">
        <v>156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0"/>
      <c r="L38" s="17"/>
      <c r="M38" s="17"/>
      <c r="N38" s="17"/>
      <c r="O38" s="17"/>
    </row>
    <row r="39" spans="1:15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L102"/>
  <sheetViews>
    <sheetView zoomScalePageLayoutView="0" workbookViewId="0" topLeftCell="A54">
      <selection activeCell="A76" sqref="A76:J103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8" width="9.8515625" style="0" customWidth="1"/>
    <col min="9" max="9" width="8.421875" style="0" customWidth="1"/>
  </cols>
  <sheetData>
    <row r="1" ht="12" thickBot="1"/>
    <row r="2" spans="1:9" ht="11.25">
      <c r="A2" s="164"/>
      <c r="B2" s="236" t="s">
        <v>91</v>
      </c>
      <c r="C2" s="237"/>
      <c r="D2" s="237"/>
      <c r="E2" s="237"/>
      <c r="F2" s="237"/>
      <c r="G2" s="237"/>
      <c r="H2" s="237"/>
      <c r="I2" s="238"/>
    </row>
    <row r="3" spans="1:9" ht="11.25">
      <c r="A3" s="164"/>
      <c r="B3" s="239" t="s">
        <v>99</v>
      </c>
      <c r="C3" s="240"/>
      <c r="D3" s="240"/>
      <c r="E3" s="240"/>
      <c r="F3" s="240"/>
      <c r="G3" s="240"/>
      <c r="H3" s="240"/>
      <c r="I3" s="241"/>
    </row>
    <row r="4" spans="1:9" ht="11.25">
      <c r="A4" s="164"/>
      <c r="B4" s="165"/>
      <c r="C4" s="163"/>
      <c r="D4" s="49"/>
      <c r="E4" s="163"/>
      <c r="F4" s="242" t="s">
        <v>92</v>
      </c>
      <c r="G4" s="243"/>
      <c r="H4" s="242" t="s">
        <v>166</v>
      </c>
      <c r="I4" s="243"/>
    </row>
    <row r="5" spans="1:9" ht="11.25">
      <c r="A5" s="164"/>
      <c r="B5" s="166"/>
      <c r="C5" s="12">
        <v>38896</v>
      </c>
      <c r="D5" s="162">
        <v>39232</v>
      </c>
      <c r="E5" s="12">
        <v>39263</v>
      </c>
      <c r="F5" s="12" t="s">
        <v>169</v>
      </c>
      <c r="G5" s="128" t="s">
        <v>167</v>
      </c>
      <c r="H5" s="128" t="s">
        <v>169</v>
      </c>
      <c r="I5" s="190" t="s">
        <v>167</v>
      </c>
    </row>
    <row r="6" spans="1:9" ht="11.25">
      <c r="A6" s="164"/>
      <c r="B6" s="167" t="s">
        <v>58</v>
      </c>
      <c r="C6" s="43">
        <v>3535.01393616</v>
      </c>
      <c r="D6" s="43">
        <v>8064.888081970001</v>
      </c>
      <c r="E6" s="43">
        <v>8525.873079019997</v>
      </c>
      <c r="F6" s="43">
        <v>460.9849970499963</v>
      </c>
      <c r="G6" s="43">
        <v>4990.8591428599975</v>
      </c>
      <c r="H6" s="43">
        <v>5.7159503314197515</v>
      </c>
      <c r="I6" s="168">
        <v>141.18357757540969</v>
      </c>
    </row>
    <row r="7" spans="1:9" ht="11.25">
      <c r="A7" s="164"/>
      <c r="B7" s="167" t="s">
        <v>59</v>
      </c>
      <c r="C7" s="43">
        <v>2688.28158708</v>
      </c>
      <c r="D7" s="43">
        <v>6054.55986249</v>
      </c>
      <c r="E7" s="43">
        <v>6485.446174229997</v>
      </c>
      <c r="F7" s="43">
        <v>430.8863117399969</v>
      </c>
      <c r="G7" s="43">
        <v>3797.1645871499973</v>
      </c>
      <c r="H7" s="43">
        <v>7.116723948993882</v>
      </c>
      <c r="I7" s="168">
        <v>141.2487666991188</v>
      </c>
    </row>
    <row r="8" spans="1:9" ht="11.25">
      <c r="A8" s="164"/>
      <c r="B8" s="169" t="s">
        <v>60</v>
      </c>
      <c r="C8" s="13">
        <v>2545.96512482</v>
      </c>
      <c r="D8" s="13">
        <v>5896.59835284</v>
      </c>
      <c r="E8" s="13">
        <v>6221.324041089998</v>
      </c>
      <c r="F8" s="13">
        <v>324.7256882499978</v>
      </c>
      <c r="G8" s="13">
        <v>3675.358916269998</v>
      </c>
      <c r="H8" s="13">
        <v>5.507000287608176</v>
      </c>
      <c r="I8" s="170">
        <v>144.3601438385707</v>
      </c>
    </row>
    <row r="9" spans="1:9" ht="11.25">
      <c r="A9" s="164"/>
      <c r="B9" s="169" t="s">
        <v>61</v>
      </c>
      <c r="C9" s="13">
        <v>1.2E-07</v>
      </c>
      <c r="D9" s="13">
        <v>2E-08</v>
      </c>
      <c r="E9" s="13">
        <v>4E-08</v>
      </c>
      <c r="F9" s="13">
        <v>2E-08</v>
      </c>
      <c r="G9" s="13">
        <v>-7.999999999999999E-08</v>
      </c>
      <c r="H9" s="13">
        <v>0</v>
      </c>
      <c r="I9" s="170">
        <v>0</v>
      </c>
    </row>
    <row r="10" spans="1:9" ht="11.25">
      <c r="A10" s="164"/>
      <c r="B10" s="169" t="s">
        <v>62</v>
      </c>
      <c r="C10" s="13">
        <v>142.31646214</v>
      </c>
      <c r="D10" s="13">
        <v>157.96150963000002</v>
      </c>
      <c r="E10" s="13">
        <v>264.1221331</v>
      </c>
      <c r="F10" s="13">
        <v>106.16062346999996</v>
      </c>
      <c r="G10" s="13">
        <v>121.80567095999999</v>
      </c>
      <c r="H10" s="13">
        <v>67.20664022435878</v>
      </c>
      <c r="I10" s="170">
        <v>85.58789976115126</v>
      </c>
    </row>
    <row r="11" spans="1:9" ht="11.25">
      <c r="A11" s="164"/>
      <c r="B11" s="167" t="s">
        <v>63</v>
      </c>
      <c r="C11" s="43">
        <v>846.7323490800001</v>
      </c>
      <c r="D11" s="43">
        <v>2010.3282194800001</v>
      </c>
      <c r="E11" s="43">
        <v>2040.42690479</v>
      </c>
      <c r="F11" s="43">
        <v>30.098685309999837</v>
      </c>
      <c r="G11" s="43">
        <v>1193.6945557099998</v>
      </c>
      <c r="H11" s="43">
        <v>1.4972025472430213</v>
      </c>
      <c r="I11" s="168">
        <v>140.9766093154448</v>
      </c>
    </row>
    <row r="12" spans="1:9" ht="11.25">
      <c r="A12" s="164"/>
      <c r="B12" s="169" t="s">
        <v>138</v>
      </c>
      <c r="C12" s="13">
        <v>833.0547874600001</v>
      </c>
      <c r="D12" s="13">
        <v>1994.33168148</v>
      </c>
      <c r="E12" s="13">
        <v>2024.59712586</v>
      </c>
      <c r="F12" s="13">
        <v>30.265444379999963</v>
      </c>
      <c r="G12" s="13">
        <v>1191.5423384</v>
      </c>
      <c r="H12" s="13">
        <v>1.5175732633169563</v>
      </c>
      <c r="I12" s="170">
        <v>143.0328900735371</v>
      </c>
    </row>
    <row r="13" spans="1:9" ht="11.25">
      <c r="A13" s="164"/>
      <c r="B13" s="169" t="s">
        <v>93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70">
        <v>0</v>
      </c>
    </row>
    <row r="14" spans="1:9" ht="11.25">
      <c r="A14" s="164"/>
      <c r="B14" s="169" t="s">
        <v>64</v>
      </c>
      <c r="C14" s="13">
        <v>13.677561620000002</v>
      </c>
      <c r="D14" s="13">
        <v>15.996538000000001</v>
      </c>
      <c r="E14" s="13">
        <v>15.829778930000002</v>
      </c>
      <c r="F14" s="13">
        <v>-0.16675906999999945</v>
      </c>
      <c r="G14" s="13">
        <v>2.1522173099999993</v>
      </c>
      <c r="H14" s="13">
        <v>-1.0424697518925623</v>
      </c>
      <c r="I14" s="170">
        <v>15.735387416225722</v>
      </c>
    </row>
    <row r="15" spans="1:9" ht="11.25">
      <c r="A15" s="164"/>
      <c r="B15" s="171"/>
      <c r="C15" s="43"/>
      <c r="D15" s="43"/>
      <c r="E15" s="43"/>
      <c r="F15" s="43"/>
      <c r="G15" s="43"/>
      <c r="H15" s="43"/>
      <c r="I15" s="168"/>
    </row>
    <row r="16" spans="1:9" ht="11.25">
      <c r="A16" s="164"/>
      <c r="B16" s="167" t="s">
        <v>65</v>
      </c>
      <c r="C16" s="43">
        <v>3535.0321046600043</v>
      </c>
      <c r="D16" s="43">
        <v>8064.902509209997</v>
      </c>
      <c r="E16" s="43">
        <v>8525.911505253001</v>
      </c>
      <c r="F16" s="43">
        <v>461.0089960430041</v>
      </c>
      <c r="G16" s="43">
        <v>4990.879400592998</v>
      </c>
      <c r="H16" s="43">
        <v>5.7162376794578575</v>
      </c>
      <c r="I16" s="168">
        <v>141.18342501087454</v>
      </c>
    </row>
    <row r="17" spans="1:9" ht="11.25">
      <c r="A17" s="164"/>
      <c r="B17" s="167" t="s">
        <v>66</v>
      </c>
      <c r="C17" s="43">
        <v>1330.1605976800042</v>
      </c>
      <c r="D17" s="43">
        <v>1566.4776788699985</v>
      </c>
      <c r="E17" s="43">
        <v>1510.9558621200017</v>
      </c>
      <c r="F17" s="43">
        <v>-55.52181674999679</v>
      </c>
      <c r="G17" s="43">
        <v>180.79526443999748</v>
      </c>
      <c r="H17" s="43">
        <v>-3.5443733095544814</v>
      </c>
      <c r="I17" s="168">
        <v>13.591987670912145</v>
      </c>
    </row>
    <row r="18" spans="1:9" ht="11.25">
      <c r="A18" s="164"/>
      <c r="B18" s="169" t="s">
        <v>67</v>
      </c>
      <c r="C18" s="13">
        <v>976.42322225</v>
      </c>
      <c r="D18" s="13">
        <v>1085.312746</v>
      </c>
      <c r="E18" s="13">
        <v>1080.7734056</v>
      </c>
      <c r="F18" s="13">
        <v>-4.539340400000128</v>
      </c>
      <c r="G18" s="13">
        <v>104.35018334999995</v>
      </c>
      <c r="H18" s="13">
        <v>-0.4182518280311551</v>
      </c>
      <c r="I18" s="170">
        <v>10.686982956995108</v>
      </c>
    </row>
    <row r="19" spans="1:9" ht="11.25">
      <c r="A19" s="164"/>
      <c r="B19" s="169" t="s">
        <v>68</v>
      </c>
      <c r="C19" s="13">
        <v>353.73737543000414</v>
      </c>
      <c r="D19" s="13">
        <v>481.1649328699985</v>
      </c>
      <c r="E19" s="13">
        <v>430.18245652000167</v>
      </c>
      <c r="F19" s="13">
        <v>-50.98247634999683</v>
      </c>
      <c r="G19" s="13">
        <v>76.44508108999753</v>
      </c>
      <c r="H19" s="13">
        <v>-10.59563423417045</v>
      </c>
      <c r="I19" s="170">
        <v>21.610688154473547</v>
      </c>
    </row>
    <row r="20" spans="1:9" ht="11.25">
      <c r="A20" s="164"/>
      <c r="B20" s="167" t="s">
        <v>139</v>
      </c>
      <c r="C20" s="43">
        <v>2327.4128432</v>
      </c>
      <c r="D20" s="43">
        <v>6238.709629999999</v>
      </c>
      <c r="E20" s="43">
        <v>6766.17694166</v>
      </c>
      <c r="F20" s="43">
        <v>527.4673116600006</v>
      </c>
      <c r="G20" s="43">
        <v>4438.76409846</v>
      </c>
      <c r="H20" s="43">
        <v>8.454750147748111</v>
      </c>
      <c r="I20" s="168">
        <v>190.71666255639747</v>
      </c>
    </row>
    <row r="21" spans="1:9" ht="11.25">
      <c r="A21" s="164"/>
      <c r="B21" s="169" t="s">
        <v>94</v>
      </c>
      <c r="C21" s="13">
        <v>1348.1657749800002</v>
      </c>
      <c r="D21" s="13">
        <v>5141.718941149999</v>
      </c>
      <c r="E21" s="13">
        <v>5691.12583395</v>
      </c>
      <c r="F21" s="13">
        <v>549.4068928000006</v>
      </c>
      <c r="G21" s="13">
        <v>4342.96005897</v>
      </c>
      <c r="H21" s="13">
        <v>10.685276637799266</v>
      </c>
      <c r="I21" s="170">
        <v>322.1384298258445</v>
      </c>
    </row>
    <row r="22" spans="1:9" ht="11.25">
      <c r="A22" s="164"/>
      <c r="B22" s="172" t="s">
        <v>69</v>
      </c>
      <c r="C22" s="13">
        <v>979.2470682200001</v>
      </c>
      <c r="D22" s="13">
        <v>1096.99068885</v>
      </c>
      <c r="E22" s="13">
        <v>1075.05110771</v>
      </c>
      <c r="F22" s="13">
        <v>-21.939581139999973</v>
      </c>
      <c r="G22" s="13">
        <v>95.80403948999992</v>
      </c>
      <c r="H22" s="13">
        <v>-1.999978793165485</v>
      </c>
      <c r="I22" s="170">
        <v>9.783438990953032</v>
      </c>
    </row>
    <row r="23" spans="1:9" ht="11.25">
      <c r="A23" s="164"/>
      <c r="B23" s="173" t="s">
        <v>0</v>
      </c>
      <c r="C23" s="13">
        <v>2.84435928</v>
      </c>
      <c r="D23" s="13">
        <v>9.116596419999999</v>
      </c>
      <c r="E23" s="13">
        <v>14.712950209999999</v>
      </c>
      <c r="F23" s="13">
        <v>5.59635379</v>
      </c>
      <c r="G23" s="13">
        <v>11.86859093</v>
      </c>
      <c r="H23" s="13">
        <v>61.386437790782466</v>
      </c>
      <c r="I23" s="170">
        <v>417.2676431368403</v>
      </c>
    </row>
    <row r="24" spans="1:9" ht="11.25">
      <c r="A24" s="164"/>
      <c r="B24" s="173" t="s">
        <v>141</v>
      </c>
      <c r="C24" s="13">
        <v>10.358953059999964</v>
      </c>
      <c r="D24" s="13">
        <v>410.76616795</v>
      </c>
      <c r="E24" s="13">
        <v>400.1548598499999</v>
      </c>
      <c r="F24" s="13">
        <v>-10.611308100000088</v>
      </c>
      <c r="G24" s="13">
        <v>389.79590678999995</v>
      </c>
      <c r="H24" s="13">
        <v>-2.5832965146466824</v>
      </c>
      <c r="I24" s="170">
        <v>3762.889015253452</v>
      </c>
    </row>
    <row r="25" spans="1:9" ht="11.25">
      <c r="A25" s="164"/>
      <c r="B25" s="174" t="s">
        <v>124</v>
      </c>
      <c r="C25" s="146">
        <v>-122.54133622000003</v>
      </c>
      <c r="D25" s="146">
        <v>-160.16756403000002</v>
      </c>
      <c r="E25" s="146">
        <v>-166.089108587</v>
      </c>
      <c r="F25" s="146">
        <v>-5.921544556999976</v>
      </c>
      <c r="G25" s="146">
        <v>-43.547772366999965</v>
      </c>
      <c r="H25" s="146">
        <v>3.697093473863938</v>
      </c>
      <c r="I25" s="175">
        <v>35.5372103082164</v>
      </c>
    </row>
    <row r="26" spans="2:9" ht="12" customHeight="1" hidden="1" thickBot="1">
      <c r="B26" s="126" t="s">
        <v>88</v>
      </c>
      <c r="C26" s="146">
        <v>-0.018168500004321686</v>
      </c>
      <c r="D26" s="146">
        <v>-0.01442723999662121</v>
      </c>
      <c r="E26" s="146">
        <v>-0.03842623300442938</v>
      </c>
      <c r="F26" s="146">
        <v>-0.023998993007808167</v>
      </c>
      <c r="G26" s="146">
        <v>-0.02025773300010769</v>
      </c>
      <c r="H26" s="146">
        <v>-0.00028734803810603893</v>
      </c>
      <c r="I26" s="146">
        <v>0.018168500004321686</v>
      </c>
    </row>
    <row r="27" spans="2:9" ht="11.25">
      <c r="B27" s="52"/>
      <c r="C27" s="53"/>
      <c r="D27" s="53"/>
      <c r="E27" s="53"/>
      <c r="F27" s="53"/>
      <c r="G27" s="53"/>
      <c r="H27" s="53"/>
      <c r="I27" s="54"/>
    </row>
    <row r="28" spans="2:9" ht="11.25">
      <c r="B28" s="52"/>
      <c r="C28" s="53"/>
      <c r="D28" s="53"/>
      <c r="E28" s="53"/>
      <c r="F28" s="53"/>
      <c r="G28" s="53"/>
      <c r="H28" s="53"/>
      <c r="I28" s="54"/>
    </row>
    <row r="29" spans="2:9" ht="12" thickBot="1">
      <c r="B29" s="52"/>
      <c r="C29" s="53"/>
      <c r="D29" s="53"/>
      <c r="E29" s="53"/>
      <c r="F29" s="53"/>
      <c r="G29" s="53"/>
      <c r="H29" s="53"/>
      <c r="I29" s="54"/>
    </row>
    <row r="30" spans="1:10" ht="11.25">
      <c r="A30" s="164"/>
      <c r="B30" s="237" t="s">
        <v>91</v>
      </c>
      <c r="C30" s="237"/>
      <c r="D30" s="237"/>
      <c r="E30" s="237"/>
      <c r="F30" s="237"/>
      <c r="G30" s="237"/>
      <c r="H30" s="237"/>
      <c r="I30" s="237"/>
      <c r="J30" s="176"/>
    </row>
    <row r="31" spans="1:10" ht="11.25">
      <c r="A31" s="164"/>
      <c r="B31" s="240" t="s">
        <v>70</v>
      </c>
      <c r="C31" s="240"/>
      <c r="D31" s="240"/>
      <c r="E31" s="240"/>
      <c r="F31" s="240"/>
      <c r="G31" s="240"/>
      <c r="H31" s="240"/>
      <c r="I31" s="240"/>
      <c r="J31" s="176"/>
    </row>
    <row r="32" spans="1:10" ht="11.25">
      <c r="A32" s="164"/>
      <c r="B32" s="49"/>
      <c r="C32" s="163"/>
      <c r="D32" s="49"/>
      <c r="E32" s="163"/>
      <c r="F32" s="242" t="s">
        <v>92</v>
      </c>
      <c r="G32" s="244"/>
      <c r="H32" s="242" t="s">
        <v>166</v>
      </c>
      <c r="I32" s="244"/>
      <c r="J32" s="176"/>
    </row>
    <row r="33" spans="1:10" ht="11.25">
      <c r="A33" s="164"/>
      <c r="B33" s="166"/>
      <c r="C33" s="12">
        <v>38896</v>
      </c>
      <c r="D33" s="162">
        <v>39232</v>
      </c>
      <c r="E33" s="12">
        <v>39263</v>
      </c>
      <c r="F33" s="12" t="s">
        <v>169</v>
      </c>
      <c r="G33" s="128" t="s">
        <v>167</v>
      </c>
      <c r="H33" s="128" t="s">
        <v>169</v>
      </c>
      <c r="I33" s="190" t="s">
        <v>167</v>
      </c>
      <c r="J33" s="176"/>
    </row>
    <row r="34" spans="1:10" ht="11.25">
      <c r="A34" s="164"/>
      <c r="B34" s="43" t="s">
        <v>58</v>
      </c>
      <c r="C34" s="43">
        <v>33214.2743146</v>
      </c>
      <c r="D34" s="43">
        <v>39231.122664362054</v>
      </c>
      <c r="E34" s="43">
        <v>38099.694381234105</v>
      </c>
      <c r="F34" s="43">
        <v>-1131.4282831279488</v>
      </c>
      <c r="G34" s="43">
        <v>4885.420066634106</v>
      </c>
      <c r="H34" s="43">
        <v>-2.884006896279187</v>
      </c>
      <c r="I34" s="50">
        <v>14.708796646767686</v>
      </c>
      <c r="J34" s="176"/>
    </row>
    <row r="35" spans="1:10" ht="11.25">
      <c r="A35" s="164"/>
      <c r="B35" s="43" t="s">
        <v>59</v>
      </c>
      <c r="C35" s="43">
        <v>1029.312</v>
      </c>
      <c r="D35" s="43">
        <v>3225.8464610130036</v>
      </c>
      <c r="E35" s="43">
        <v>1877.2092711141095</v>
      </c>
      <c r="F35" s="43">
        <v>-1348.6371898988941</v>
      </c>
      <c r="G35" s="43">
        <v>847.8972711141096</v>
      </c>
      <c r="H35" s="43">
        <v>-41.80723435533213</v>
      </c>
      <c r="I35" s="50">
        <v>82.37514680816989</v>
      </c>
      <c r="J35" s="176"/>
    </row>
    <row r="36" spans="1:10" ht="11.25">
      <c r="A36" s="164"/>
      <c r="B36" s="51" t="s">
        <v>71</v>
      </c>
      <c r="C36" s="13">
        <v>59.045</v>
      </c>
      <c r="D36" s="13">
        <v>57.44191</v>
      </c>
      <c r="E36" s="13">
        <v>65.036082</v>
      </c>
      <c r="F36" s="13">
        <v>7.594171999999993</v>
      </c>
      <c r="G36" s="13">
        <v>5.991081999999992</v>
      </c>
      <c r="H36" s="13">
        <v>13.220611919067442</v>
      </c>
      <c r="I36" s="147">
        <v>10.146637310525856</v>
      </c>
      <c r="J36" s="176"/>
    </row>
    <row r="37" spans="1:10" ht="11.25">
      <c r="A37" s="164"/>
      <c r="B37" s="51" t="s">
        <v>60</v>
      </c>
      <c r="C37" s="13">
        <v>924.676</v>
      </c>
      <c r="D37" s="13">
        <v>3124.1905510130036</v>
      </c>
      <c r="E37" s="13">
        <v>1767.9161891141093</v>
      </c>
      <c r="F37" s="13">
        <v>-1356.2743618988943</v>
      </c>
      <c r="G37" s="13">
        <v>843.2401891141093</v>
      </c>
      <c r="H37" s="13">
        <v>-43.412024322880335</v>
      </c>
      <c r="I37" s="147">
        <v>91.1930437379265</v>
      </c>
      <c r="J37" s="176"/>
    </row>
    <row r="38" spans="1:10" ht="11.25">
      <c r="A38" s="164"/>
      <c r="B38" s="51" t="s">
        <v>72</v>
      </c>
      <c r="C38" s="13">
        <v>45.591</v>
      </c>
      <c r="D38" s="13">
        <v>44.214</v>
      </c>
      <c r="E38" s="13">
        <v>44.257</v>
      </c>
      <c r="F38" s="13">
        <v>0.04299999999999926</v>
      </c>
      <c r="G38" s="13">
        <v>-1.3340000000000032</v>
      </c>
      <c r="H38" s="13">
        <v>0.0972542633554966</v>
      </c>
      <c r="I38" s="147">
        <v>-2.926016099668801</v>
      </c>
      <c r="J38" s="176"/>
    </row>
    <row r="39" spans="1:10" ht="11.25">
      <c r="A39" s="164"/>
      <c r="B39" s="51" t="s">
        <v>73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47">
        <v>0</v>
      </c>
      <c r="J39" s="176"/>
    </row>
    <row r="40" spans="1:10" ht="11.25">
      <c r="A40" s="164"/>
      <c r="B40" s="43" t="s">
        <v>63</v>
      </c>
      <c r="C40" s="43">
        <v>30286.76049525</v>
      </c>
      <c r="D40" s="43">
        <v>34123.96011093</v>
      </c>
      <c r="E40" s="43">
        <v>34636.39531116</v>
      </c>
      <c r="F40" s="43">
        <v>512.4352002300002</v>
      </c>
      <c r="G40" s="43">
        <v>4349.634815909998</v>
      </c>
      <c r="H40" s="43">
        <v>1.501687373224498</v>
      </c>
      <c r="I40" s="50">
        <v>14.361505637396146</v>
      </c>
      <c r="J40" s="176"/>
    </row>
    <row r="41" spans="1:10" ht="11.25">
      <c r="A41" s="164"/>
      <c r="B41" s="51" t="s">
        <v>95</v>
      </c>
      <c r="C41" s="13">
        <v>587.1030000000001</v>
      </c>
      <c r="D41" s="13">
        <v>782.05708441</v>
      </c>
      <c r="E41" s="13">
        <v>696.18196636</v>
      </c>
      <c r="F41" s="13">
        <v>-85.87511804999997</v>
      </c>
      <c r="G41" s="13">
        <v>109.07896635999998</v>
      </c>
      <c r="H41" s="13">
        <v>-10.98067132973879</v>
      </c>
      <c r="I41" s="147">
        <v>18.579187358947234</v>
      </c>
      <c r="J41" s="176"/>
    </row>
    <row r="42" spans="1:10" ht="11.25">
      <c r="A42" s="164"/>
      <c r="B42" s="51" t="s">
        <v>93</v>
      </c>
      <c r="C42" s="13">
        <v>2661.886</v>
      </c>
      <c r="D42" s="13">
        <v>3012.08193371</v>
      </c>
      <c r="E42" s="13">
        <v>3270.230892</v>
      </c>
      <c r="F42" s="13">
        <v>258.1489582899999</v>
      </c>
      <c r="G42" s="13">
        <v>608.3448920000001</v>
      </c>
      <c r="H42" s="13">
        <v>8.570449409124677</v>
      </c>
      <c r="I42" s="147">
        <v>22.853904787808347</v>
      </c>
      <c r="J42" s="176"/>
    </row>
    <row r="43" spans="1:10" ht="11.25">
      <c r="A43" s="164"/>
      <c r="B43" s="51" t="s">
        <v>51</v>
      </c>
      <c r="C43" s="13">
        <v>830.969</v>
      </c>
      <c r="D43" s="13">
        <v>1196.251</v>
      </c>
      <c r="E43" s="13">
        <v>1067.661</v>
      </c>
      <c r="F43" s="13">
        <v>-128.58999999999992</v>
      </c>
      <c r="G43" s="13">
        <v>236.692</v>
      </c>
      <c r="H43" s="13">
        <v>-10.749416301428374</v>
      </c>
      <c r="I43" s="147">
        <v>28.483854391680076</v>
      </c>
      <c r="J43" s="176"/>
    </row>
    <row r="44" spans="1:10" ht="11.25">
      <c r="A44" s="164"/>
      <c r="B44" s="51" t="s">
        <v>96</v>
      </c>
      <c r="C44" s="13">
        <v>24.952</v>
      </c>
      <c r="D44" s="13">
        <v>41.643</v>
      </c>
      <c r="E44" s="13">
        <v>27.021</v>
      </c>
      <c r="F44" s="13">
        <v>-14.622</v>
      </c>
      <c r="G44" s="13">
        <v>2.068999999999999</v>
      </c>
      <c r="H44" s="13">
        <v>-35.11274403861393</v>
      </c>
      <c r="I44" s="147">
        <v>8.29192048733568</v>
      </c>
      <c r="J44" s="176"/>
    </row>
    <row r="45" spans="1:10" ht="11.25">
      <c r="A45" s="164"/>
      <c r="B45" s="51" t="s">
        <v>106</v>
      </c>
      <c r="C45" s="13">
        <v>404.944</v>
      </c>
      <c r="D45" s="13">
        <v>322.858</v>
      </c>
      <c r="E45" s="13">
        <v>415.22499999999997</v>
      </c>
      <c r="F45" s="13">
        <v>92.36699999999996</v>
      </c>
      <c r="G45" s="13">
        <v>10.280999999999949</v>
      </c>
      <c r="H45" s="13">
        <v>28.60917183405707</v>
      </c>
      <c r="I45" s="147">
        <v>2.5388695720889674</v>
      </c>
      <c r="J45" s="176"/>
    </row>
    <row r="46" spans="1:10" ht="11.25">
      <c r="A46" s="164"/>
      <c r="B46" s="51" t="s">
        <v>74</v>
      </c>
      <c r="C46" s="13">
        <v>9033.559</v>
      </c>
      <c r="D46" s="13">
        <v>9666.327373450002</v>
      </c>
      <c r="E46" s="13">
        <v>9878.03873034</v>
      </c>
      <c r="F46" s="13">
        <v>211.71135688999857</v>
      </c>
      <c r="G46" s="13">
        <v>844.479730340001</v>
      </c>
      <c r="H46" s="13">
        <v>2.1901943593540514</v>
      </c>
      <c r="I46" s="147">
        <v>9.348250565917608</v>
      </c>
      <c r="J46" s="176"/>
    </row>
    <row r="47" spans="1:10" ht="11.25">
      <c r="A47" s="164"/>
      <c r="B47" s="51" t="s">
        <v>52</v>
      </c>
      <c r="C47" s="13">
        <v>16743.34749525</v>
      </c>
      <c r="D47" s="13">
        <v>19102.741719359998</v>
      </c>
      <c r="E47" s="13">
        <v>19282.036722459998</v>
      </c>
      <c r="F47" s="13">
        <v>179.29500310000003</v>
      </c>
      <c r="G47" s="13">
        <v>2538.6892272099976</v>
      </c>
      <c r="H47" s="13">
        <v>0.9385825643985465</v>
      </c>
      <c r="I47" s="147">
        <v>15.16237555202274</v>
      </c>
      <c r="J47" s="176"/>
    </row>
    <row r="48" spans="1:10" ht="11.25">
      <c r="A48" s="164"/>
      <c r="B48" s="55" t="s">
        <v>75</v>
      </c>
      <c r="C48" s="43">
        <v>1898.2018193499998</v>
      </c>
      <c r="D48" s="43">
        <v>1881.316092419052</v>
      </c>
      <c r="E48" s="43">
        <v>1586.0897989600003</v>
      </c>
      <c r="F48" s="43">
        <v>-295.2262934590517</v>
      </c>
      <c r="G48" s="43">
        <v>-312.11202038999954</v>
      </c>
      <c r="H48" s="43">
        <v>-15.692540697902658</v>
      </c>
      <c r="I48" s="50">
        <v>-16.442509811568716</v>
      </c>
      <c r="J48" s="176"/>
    </row>
    <row r="49" spans="1:10" ht="11.25">
      <c r="A49" s="164"/>
      <c r="B49" s="56"/>
      <c r="C49" s="43"/>
      <c r="D49" s="43"/>
      <c r="E49" s="43"/>
      <c r="F49" s="43"/>
      <c r="G49" s="43"/>
      <c r="H49" s="43"/>
      <c r="I49" s="147"/>
      <c r="J49" s="176"/>
    </row>
    <row r="50" spans="1:10" ht="11.25">
      <c r="A50" s="164"/>
      <c r="B50" s="43" t="s">
        <v>65</v>
      </c>
      <c r="C50" s="43">
        <v>33214.27476274</v>
      </c>
      <c r="D50" s="43">
        <v>39231.12259078424</v>
      </c>
      <c r="E50" s="43">
        <v>38099.69429237411</v>
      </c>
      <c r="F50" s="43">
        <v>-1131.42829841013</v>
      </c>
      <c r="G50" s="43">
        <v>4885.419529634106</v>
      </c>
      <c r="H50" s="43">
        <v>-2.8840069406423594</v>
      </c>
      <c r="I50" s="50">
        <v>14.708794831536116</v>
      </c>
      <c r="J50" s="176"/>
    </row>
    <row r="51" spans="1:10" ht="11.25">
      <c r="A51" s="164"/>
      <c r="B51" s="55" t="s">
        <v>76</v>
      </c>
      <c r="C51" s="43">
        <v>2248.26024805</v>
      </c>
      <c r="D51" s="43">
        <v>846.60361591</v>
      </c>
      <c r="E51" s="43">
        <v>1012.75031262</v>
      </c>
      <c r="F51" s="43">
        <v>166.14669671000001</v>
      </c>
      <c r="G51" s="43">
        <v>-1235.50993543</v>
      </c>
      <c r="H51" s="43">
        <v>19.625087064081544</v>
      </c>
      <c r="I51" s="50">
        <v>-54.9540444217525</v>
      </c>
      <c r="J51" s="176"/>
    </row>
    <row r="52" spans="1:10" ht="11.25">
      <c r="A52" s="164"/>
      <c r="B52" s="51" t="s">
        <v>60</v>
      </c>
      <c r="C52" s="13">
        <v>1846.93980568</v>
      </c>
      <c r="D52" s="13">
        <v>184.94091784000003</v>
      </c>
      <c r="E52" s="13">
        <v>360.35761454</v>
      </c>
      <c r="F52" s="13">
        <v>175.41669669999996</v>
      </c>
      <c r="G52" s="13">
        <v>-1486.58219114</v>
      </c>
      <c r="H52" s="13">
        <v>94.85012767794315</v>
      </c>
      <c r="I52" s="147">
        <v>-80.48893562032875</v>
      </c>
      <c r="J52" s="176"/>
    </row>
    <row r="53" spans="1:10" ht="11.25">
      <c r="A53" s="164"/>
      <c r="B53" s="51" t="s">
        <v>125</v>
      </c>
      <c r="C53" s="13">
        <v>102.133</v>
      </c>
      <c r="D53" s="13">
        <v>459.903</v>
      </c>
      <c r="E53" s="13">
        <v>454.189</v>
      </c>
      <c r="F53" s="13">
        <v>-5.713999999999999</v>
      </c>
      <c r="G53" s="13">
        <v>352.05600000000004</v>
      </c>
      <c r="H53" s="13">
        <v>-1.2424359049625677</v>
      </c>
      <c r="I53" s="147">
        <v>344.7034748807928</v>
      </c>
      <c r="J53" s="176"/>
    </row>
    <row r="54" spans="1:10" ht="11.25">
      <c r="A54" s="164"/>
      <c r="B54" s="51" t="s">
        <v>72</v>
      </c>
      <c r="C54" s="13">
        <v>299.18744237</v>
      </c>
      <c r="D54" s="13">
        <v>201.75969806999998</v>
      </c>
      <c r="E54" s="13">
        <v>198.20369808</v>
      </c>
      <c r="F54" s="13">
        <v>-3.5559999899999752</v>
      </c>
      <c r="G54" s="13">
        <v>-100.98374428999998</v>
      </c>
      <c r="H54" s="13">
        <v>-1.7624927198127698</v>
      </c>
      <c r="I54" s="147">
        <v>-33.75266805654066</v>
      </c>
      <c r="J54" s="176"/>
    </row>
    <row r="55" spans="1:10" ht="11.25">
      <c r="A55" s="164"/>
      <c r="B55" s="51" t="s">
        <v>77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47">
        <v>0</v>
      </c>
      <c r="J55" s="176"/>
    </row>
    <row r="56" spans="1:10" ht="11.25">
      <c r="A56" s="164"/>
      <c r="B56" s="43" t="s">
        <v>78</v>
      </c>
      <c r="C56" s="43">
        <v>30966.014514690003</v>
      </c>
      <c r="D56" s="43">
        <v>38384.51897487424</v>
      </c>
      <c r="E56" s="43">
        <v>37086.943979754105</v>
      </c>
      <c r="F56" s="43">
        <v>-1297.574995120136</v>
      </c>
      <c r="G56" s="43">
        <v>6120.929465064102</v>
      </c>
      <c r="H56" s="43">
        <v>-3.380464389743957</v>
      </c>
      <c r="I56" s="50">
        <v>19.76660400440098</v>
      </c>
      <c r="J56" s="176"/>
    </row>
    <row r="57" spans="1:10" ht="11.25">
      <c r="A57" s="164"/>
      <c r="B57" s="51" t="s">
        <v>79</v>
      </c>
      <c r="C57" s="13">
        <v>19796.21372454</v>
      </c>
      <c r="D57" s="13">
        <v>22709.240461460002</v>
      </c>
      <c r="E57" s="13">
        <v>21676.57355346</v>
      </c>
      <c r="F57" s="13">
        <v>-1032.6669080000029</v>
      </c>
      <c r="G57" s="13">
        <v>1880.359828919998</v>
      </c>
      <c r="H57" s="13">
        <v>-4.5473423461808355</v>
      </c>
      <c r="I57" s="147">
        <v>9.498583189112804</v>
      </c>
      <c r="J57" s="176"/>
    </row>
    <row r="58" spans="1:10" ht="11.25">
      <c r="A58" s="164"/>
      <c r="B58" s="57" t="s">
        <v>80</v>
      </c>
      <c r="C58" s="13">
        <v>11350.18346427</v>
      </c>
      <c r="D58" s="13">
        <v>14147.19360833</v>
      </c>
      <c r="E58" s="13">
        <v>12546.8501372</v>
      </c>
      <c r="F58" s="13">
        <v>-1600.3434711300015</v>
      </c>
      <c r="G58" s="13">
        <v>1196.6666729299995</v>
      </c>
      <c r="H58" s="13">
        <v>-11.312091397319284</v>
      </c>
      <c r="I58" s="147">
        <v>10.543148282114261</v>
      </c>
      <c r="J58" s="176"/>
    </row>
    <row r="59" spans="1:10" ht="11.25">
      <c r="A59" s="164"/>
      <c r="B59" s="57" t="s">
        <v>77</v>
      </c>
      <c r="C59" s="13">
        <v>8446.030260270001</v>
      </c>
      <c r="D59" s="13">
        <v>8562.04685313</v>
      </c>
      <c r="E59" s="13">
        <v>9129.72341626</v>
      </c>
      <c r="F59" s="13">
        <v>567.6765631300004</v>
      </c>
      <c r="G59" s="13">
        <v>683.6931559899986</v>
      </c>
      <c r="H59" s="13">
        <v>6.630150159975787</v>
      </c>
      <c r="I59" s="147">
        <v>8.0948461575621</v>
      </c>
      <c r="J59" s="176"/>
    </row>
    <row r="60" spans="1:10" ht="11.25">
      <c r="A60" s="164"/>
      <c r="B60" s="51" t="s">
        <v>154</v>
      </c>
      <c r="C60" s="13">
        <v>267.489</v>
      </c>
      <c r="D60" s="13">
        <v>1335.23402515</v>
      </c>
      <c r="E60" s="13">
        <v>1293.0436434399999</v>
      </c>
      <c r="F60" s="13">
        <v>-42.19038171000011</v>
      </c>
      <c r="G60" s="13">
        <v>1025.5546434399998</v>
      </c>
      <c r="H60" s="13">
        <v>-3.1597743103693334</v>
      </c>
      <c r="I60" s="147">
        <v>383.4006794447622</v>
      </c>
      <c r="J60" s="176"/>
    </row>
    <row r="61" spans="1:10" ht="11.25">
      <c r="A61" s="164"/>
      <c r="B61" s="51" t="s">
        <v>126</v>
      </c>
      <c r="C61" s="13">
        <v>9.533504890000001</v>
      </c>
      <c r="D61" s="13">
        <v>5.868</v>
      </c>
      <c r="E61" s="13">
        <v>5.868</v>
      </c>
      <c r="F61" s="13">
        <v>0</v>
      </c>
      <c r="G61" s="13">
        <v>-3.665504890000001</v>
      </c>
      <c r="H61" s="13">
        <v>0</v>
      </c>
      <c r="I61" s="147">
        <v>0</v>
      </c>
      <c r="J61" s="176"/>
    </row>
    <row r="62" spans="1:10" ht="11.25">
      <c r="A62" s="164"/>
      <c r="B62" s="51" t="s">
        <v>127</v>
      </c>
      <c r="C62" s="13">
        <v>3967.884</v>
      </c>
      <c r="D62" s="13">
        <v>4938.110378082192</v>
      </c>
      <c r="E62" s="13">
        <v>5135.5239715</v>
      </c>
      <c r="F62" s="13">
        <v>197.41359341780753</v>
      </c>
      <c r="G62" s="13">
        <v>1167.6399714999998</v>
      </c>
      <c r="H62" s="13">
        <v>3.9977557871939835</v>
      </c>
      <c r="I62" s="147">
        <v>29.427270845115427</v>
      </c>
      <c r="J62" s="176"/>
    </row>
    <row r="63" spans="1:10" ht="11.25">
      <c r="A63" s="164"/>
      <c r="B63" s="51" t="s">
        <v>128</v>
      </c>
      <c r="C63" s="13">
        <v>703.27530393</v>
      </c>
      <c r="D63" s="13">
        <v>605.8547421200001</v>
      </c>
      <c r="E63" s="13">
        <v>471.56579674000005</v>
      </c>
      <c r="F63" s="13">
        <v>-134.28894538000003</v>
      </c>
      <c r="G63" s="13">
        <v>-231.7095071899999</v>
      </c>
      <c r="H63" s="13">
        <v>-22.165204964823364</v>
      </c>
      <c r="I63" s="147">
        <v>-32.94719804537071</v>
      </c>
      <c r="J63" s="176"/>
    </row>
    <row r="64" spans="1:10" ht="11.25">
      <c r="A64" s="164"/>
      <c r="B64" s="51" t="s">
        <v>129</v>
      </c>
      <c r="C64" s="13">
        <v>430.57399999999996</v>
      </c>
      <c r="D64" s="13">
        <v>2000.7868631</v>
      </c>
      <c r="E64" s="13">
        <v>1960.13921805</v>
      </c>
      <c r="F64" s="13">
        <v>-40.64764504999994</v>
      </c>
      <c r="G64" s="13">
        <v>1529.56521805</v>
      </c>
      <c r="H64" s="13">
        <v>-2.0315829636656484</v>
      </c>
      <c r="I64" s="147">
        <v>355.238639130556</v>
      </c>
      <c r="J64" s="176"/>
    </row>
    <row r="65" spans="1:10" ht="11.25">
      <c r="A65" s="164"/>
      <c r="B65" s="51" t="s">
        <v>72</v>
      </c>
      <c r="C65" s="13">
        <v>5.615</v>
      </c>
      <c r="D65" s="13">
        <v>5.345</v>
      </c>
      <c r="E65" s="13">
        <v>5.007</v>
      </c>
      <c r="F65" s="13">
        <v>-0.3380000000000001</v>
      </c>
      <c r="G65" s="13">
        <v>-0.6080000000000005</v>
      </c>
      <c r="H65" s="13">
        <v>-6.323666978484567</v>
      </c>
      <c r="I65" s="147">
        <v>-12.14299980027962</v>
      </c>
      <c r="J65" s="176"/>
    </row>
    <row r="66" spans="1:10" ht="11.25">
      <c r="A66" s="164"/>
      <c r="B66" s="51" t="s">
        <v>97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47">
        <v>0</v>
      </c>
      <c r="J66" s="176"/>
    </row>
    <row r="67" spans="1:10" ht="11.25">
      <c r="A67" s="164"/>
      <c r="B67" s="51" t="s">
        <v>81</v>
      </c>
      <c r="C67" s="13">
        <v>4300.661519939999</v>
      </c>
      <c r="D67" s="13">
        <v>4570.55240914</v>
      </c>
      <c r="E67" s="13">
        <v>4634.48183778</v>
      </c>
      <c r="F67" s="13">
        <v>63.92942863999997</v>
      </c>
      <c r="G67" s="13">
        <v>333.8203178400008</v>
      </c>
      <c r="H67" s="13">
        <v>1.3987243317056501</v>
      </c>
      <c r="I67" s="147">
        <v>7.762069074542237</v>
      </c>
      <c r="J67" s="176"/>
    </row>
    <row r="68" spans="1:10" ht="11.25">
      <c r="A68" s="164"/>
      <c r="B68" s="51" t="s">
        <v>130</v>
      </c>
      <c r="C68" s="13">
        <v>1516.31160886</v>
      </c>
      <c r="D68" s="13">
        <v>2217.4354358299997</v>
      </c>
      <c r="E68" s="13">
        <v>1904.73040109</v>
      </c>
      <c r="F68" s="13">
        <v>-312.70503473999975</v>
      </c>
      <c r="G68" s="13">
        <v>388.41879223</v>
      </c>
      <c r="H68" s="13">
        <v>-14.102103253479953</v>
      </c>
      <c r="I68" s="147">
        <v>25.61602707256345</v>
      </c>
      <c r="J68" s="176"/>
    </row>
    <row r="69" spans="1:10" ht="11.25">
      <c r="A69" s="164"/>
      <c r="B69" s="51" t="s">
        <v>131</v>
      </c>
      <c r="C69" s="13">
        <v>-31.54314746999992</v>
      </c>
      <c r="D69" s="13">
        <v>-3.9083400079452133</v>
      </c>
      <c r="E69" s="13">
        <v>0.010557694109536442</v>
      </c>
      <c r="F69" s="13">
        <v>3.9188977020547497</v>
      </c>
      <c r="G69" s="13">
        <v>3.9083400079452133</v>
      </c>
      <c r="H69" s="13">
        <v>-100.27013243699561</v>
      </c>
      <c r="I69" s="147">
        <v>-12.390456632973486</v>
      </c>
      <c r="J69" s="176"/>
    </row>
    <row r="70" spans="1:10" ht="12" customHeight="1" hidden="1" thickBot="1">
      <c r="A70" s="164"/>
      <c r="B70" s="51" t="s">
        <v>131</v>
      </c>
      <c r="C70" s="13"/>
      <c r="D70" s="13"/>
      <c r="E70" s="13"/>
      <c r="F70" s="13"/>
      <c r="G70" s="13"/>
      <c r="H70" s="13"/>
      <c r="I70" s="13"/>
      <c r="J70" s="176"/>
    </row>
    <row r="71" spans="1:10" ht="12" customHeight="1" hidden="1">
      <c r="A71" s="164"/>
      <c r="B71" s="13"/>
      <c r="C71" s="45">
        <v>-0.00026830013666767627</v>
      </c>
      <c r="D71" s="45"/>
      <c r="E71" s="45">
        <v>-0.00026830013666767627</v>
      </c>
      <c r="F71" s="45"/>
      <c r="G71" s="45">
        <v>-0.0004651664348784834</v>
      </c>
      <c r="H71" s="45"/>
      <c r="I71" s="45">
        <v>-1.2624493881396859E-06</v>
      </c>
      <c r="J71" s="176"/>
    </row>
    <row r="72" spans="1:10" ht="12" customHeight="1">
      <c r="A72" s="164"/>
      <c r="B72" s="13"/>
      <c r="C72" s="72"/>
      <c r="D72" s="72"/>
      <c r="E72" s="72"/>
      <c r="F72" s="72"/>
      <c r="G72" s="43"/>
      <c r="H72" s="43"/>
      <c r="I72" s="43"/>
      <c r="J72" s="176"/>
    </row>
    <row r="73" spans="1:10" ht="12" customHeight="1">
      <c r="A73" s="164"/>
      <c r="B73" s="177"/>
      <c r="C73" s="178"/>
      <c r="D73" s="178"/>
      <c r="E73" s="178"/>
      <c r="F73" s="178"/>
      <c r="G73" s="146"/>
      <c r="H73" s="146"/>
      <c r="I73" s="179"/>
      <c r="J73" s="176"/>
    </row>
    <row r="74" ht="11.25">
      <c r="B74" s="71"/>
    </row>
    <row r="75" ht="11.25">
      <c r="B75" s="67"/>
    </row>
    <row r="76" ht="12" thickBot="1">
      <c r="B76" s="67"/>
    </row>
    <row r="77" spans="2:10" ht="11.25">
      <c r="B77" s="236" t="s">
        <v>146</v>
      </c>
      <c r="C77" s="237"/>
      <c r="D77" s="237"/>
      <c r="E77" s="237"/>
      <c r="F77" s="237"/>
      <c r="G77" s="237"/>
      <c r="H77" s="237"/>
      <c r="I77" s="238"/>
      <c r="J77" s="176"/>
    </row>
    <row r="78" spans="2:10" ht="11.25">
      <c r="B78" s="239" t="s">
        <v>90</v>
      </c>
      <c r="C78" s="240"/>
      <c r="D78" s="240"/>
      <c r="E78" s="240"/>
      <c r="F78" s="240"/>
      <c r="G78" s="240"/>
      <c r="H78" s="240"/>
      <c r="I78" s="241"/>
      <c r="J78" s="176"/>
    </row>
    <row r="79" spans="2:10" ht="11.25">
      <c r="B79" s="165"/>
      <c r="C79" s="163"/>
      <c r="D79" s="49"/>
      <c r="E79" s="163"/>
      <c r="F79" s="242" t="s">
        <v>92</v>
      </c>
      <c r="G79" s="243"/>
      <c r="H79" s="242" t="s">
        <v>166</v>
      </c>
      <c r="I79" s="243"/>
      <c r="J79" s="176"/>
    </row>
    <row r="80" spans="2:10" ht="11.25">
      <c r="B80" s="166"/>
      <c r="C80" s="12">
        <v>38896</v>
      </c>
      <c r="D80" s="162">
        <v>39232</v>
      </c>
      <c r="E80" s="12">
        <v>39263</v>
      </c>
      <c r="F80" s="12" t="s">
        <v>169</v>
      </c>
      <c r="G80" s="128" t="s">
        <v>167</v>
      </c>
      <c r="H80" s="128" t="s">
        <v>169</v>
      </c>
      <c r="I80" s="190" t="s">
        <v>167</v>
      </c>
      <c r="J80" s="176"/>
    </row>
    <row r="81" spans="2:12" ht="11.25">
      <c r="B81" s="182" t="s">
        <v>58</v>
      </c>
      <c r="C81" s="43">
        <v>31173.284763049996</v>
      </c>
      <c r="D81" s="43">
        <v>37724.503306782055</v>
      </c>
      <c r="E81" s="43">
        <v>36645.293979191105</v>
      </c>
      <c r="F81" s="43">
        <v>-1079.2093275909501</v>
      </c>
      <c r="G81" s="43">
        <v>5472.0092161411085</v>
      </c>
      <c r="H81" s="43">
        <v>-2.8607648424543513</v>
      </c>
      <c r="I81" s="168">
        <v>17.553521413396687</v>
      </c>
      <c r="J81" s="180"/>
      <c r="K81" s="69"/>
      <c r="L81" s="68"/>
    </row>
    <row r="82" spans="2:12" ht="11.25">
      <c r="B82" s="182" t="s">
        <v>1</v>
      </c>
      <c r="C82" s="43">
        <v>1458.9743859700002</v>
      </c>
      <c r="D82" s="43">
        <v>8023.0365396430025</v>
      </c>
      <c r="E82" s="43">
        <v>6949.750272874107</v>
      </c>
      <c r="F82" s="43">
        <v>-1073.286266768895</v>
      </c>
      <c r="G82" s="43">
        <v>5490.775886904107</v>
      </c>
      <c r="H82" s="43">
        <v>-13.377556757539741</v>
      </c>
      <c r="I82" s="168">
        <v>376.34491322844997</v>
      </c>
      <c r="J82" s="180"/>
      <c r="K82" s="69"/>
      <c r="L82" s="68"/>
    </row>
    <row r="83" spans="2:11" ht="11.25">
      <c r="B83" s="182" t="s">
        <v>82</v>
      </c>
      <c r="C83" s="43">
        <v>27661.893977959997</v>
      </c>
      <c r="D83" s="43">
        <v>27610.325881250003</v>
      </c>
      <c r="E83" s="43">
        <v>27793.35149304</v>
      </c>
      <c r="F83" s="43">
        <v>183.02561178999895</v>
      </c>
      <c r="G83" s="43">
        <v>131.45751508000467</v>
      </c>
      <c r="H83" s="43">
        <v>0.6628882707765882</v>
      </c>
      <c r="I83" s="168">
        <v>0.4752296252192467</v>
      </c>
      <c r="J83" s="181"/>
      <c r="K83" s="70"/>
    </row>
    <row r="84" spans="2:11" ht="11.25">
      <c r="B84" s="183" t="s">
        <v>132</v>
      </c>
      <c r="C84" s="13">
        <v>610.4449210899998</v>
      </c>
      <c r="D84" s="13">
        <v>-2735.4917495599993</v>
      </c>
      <c r="E84" s="13">
        <v>-2892.46073869</v>
      </c>
      <c r="F84" s="13">
        <v>-156.96898913000086</v>
      </c>
      <c r="G84" s="13">
        <v>-3502.90565978</v>
      </c>
      <c r="H84" s="13">
        <v>5.738236613407778</v>
      </c>
      <c r="I84" s="170">
        <v>-573.82829126095</v>
      </c>
      <c r="J84" s="181"/>
      <c r="K84" s="70"/>
    </row>
    <row r="85" spans="2:11" ht="11.25">
      <c r="B85" s="183" t="s">
        <v>83</v>
      </c>
      <c r="C85" s="13">
        <v>27051.44905687</v>
      </c>
      <c r="D85" s="13">
        <v>30345.81763081</v>
      </c>
      <c r="E85" s="13">
        <v>30685.81223173</v>
      </c>
      <c r="F85" s="13">
        <v>339.99460091999936</v>
      </c>
      <c r="G85" s="13">
        <v>3634.363174860002</v>
      </c>
      <c r="H85" s="13">
        <v>1.1204001983284972</v>
      </c>
      <c r="I85" s="170">
        <v>13.435003674736667</v>
      </c>
      <c r="J85" s="181"/>
      <c r="K85" s="70"/>
    </row>
    <row r="86" spans="2:11" ht="11.25">
      <c r="B86" s="184" t="s">
        <v>133</v>
      </c>
      <c r="C86" s="13">
        <v>830.969</v>
      </c>
      <c r="D86" s="13">
        <v>1196.251</v>
      </c>
      <c r="E86" s="13">
        <v>1067.661</v>
      </c>
      <c r="F86" s="13">
        <v>-128.58999999999992</v>
      </c>
      <c r="G86" s="13">
        <v>236.692</v>
      </c>
      <c r="H86" s="13">
        <v>-10.749416301428374</v>
      </c>
      <c r="I86" s="170">
        <v>0</v>
      </c>
      <c r="J86" s="181"/>
      <c r="K86" s="70"/>
    </row>
    <row r="87" spans="2:11" ht="11.25">
      <c r="B87" s="184" t="s">
        <v>134</v>
      </c>
      <c r="C87" s="13">
        <v>24.952</v>
      </c>
      <c r="D87" s="13">
        <v>41.643</v>
      </c>
      <c r="E87" s="13">
        <v>27.021</v>
      </c>
      <c r="F87" s="13">
        <v>-14.622</v>
      </c>
      <c r="G87" s="13">
        <v>2.068999999999999</v>
      </c>
      <c r="H87" s="13">
        <v>-35.11274403861393</v>
      </c>
      <c r="I87" s="170">
        <v>8.29192048733568</v>
      </c>
      <c r="J87" s="181"/>
      <c r="K87" s="70"/>
    </row>
    <row r="88" spans="2:11" ht="11.25">
      <c r="B88" s="184" t="s">
        <v>135</v>
      </c>
      <c r="C88" s="13">
        <v>404.944</v>
      </c>
      <c r="D88" s="13">
        <v>322.858</v>
      </c>
      <c r="E88" s="13">
        <v>415.22499999999997</v>
      </c>
      <c r="F88" s="13">
        <v>92.36699999999996</v>
      </c>
      <c r="G88" s="13">
        <v>10.280999999999949</v>
      </c>
      <c r="H88" s="13">
        <v>28.60917183405707</v>
      </c>
      <c r="I88" s="170">
        <v>2.5388695720889674</v>
      </c>
      <c r="J88" s="181"/>
      <c r="K88" s="70"/>
    </row>
    <row r="89" spans="2:11" ht="11.25">
      <c r="B89" s="184" t="s">
        <v>136</v>
      </c>
      <c r="C89" s="13">
        <v>9033.559</v>
      </c>
      <c r="D89" s="13">
        <v>9666.327373450002</v>
      </c>
      <c r="E89" s="13">
        <v>9878.03873034</v>
      </c>
      <c r="F89" s="13">
        <v>211.71135688999857</v>
      </c>
      <c r="G89" s="13">
        <v>844.479730340001</v>
      </c>
      <c r="H89" s="13">
        <v>2.1901943593540514</v>
      </c>
      <c r="I89" s="170">
        <v>9.348250565917608</v>
      </c>
      <c r="J89" s="181"/>
      <c r="K89" s="70"/>
    </row>
    <row r="90" spans="2:11" ht="11.25">
      <c r="B90" s="184" t="s">
        <v>137</v>
      </c>
      <c r="C90" s="13">
        <v>16757.02505687</v>
      </c>
      <c r="D90" s="13">
        <v>19118.738257359997</v>
      </c>
      <c r="E90" s="13">
        <v>19297.86650139</v>
      </c>
      <c r="F90" s="13">
        <v>179.12824403000195</v>
      </c>
      <c r="G90" s="13">
        <v>2540.8414445199996</v>
      </c>
      <c r="H90" s="13">
        <v>0.936925029354614</v>
      </c>
      <c r="I90" s="170">
        <v>15.162843260643765</v>
      </c>
      <c r="J90" s="181"/>
      <c r="K90" s="70"/>
    </row>
    <row r="91" spans="2:12" ht="11.25">
      <c r="B91" s="182" t="s">
        <v>75</v>
      </c>
      <c r="C91" s="13">
        <v>2052.41639912</v>
      </c>
      <c r="D91" s="13">
        <v>2091.1408858890522</v>
      </c>
      <c r="E91" s="13">
        <v>1902.192213277</v>
      </c>
      <c r="F91" s="13">
        <v>-188.94867261205218</v>
      </c>
      <c r="G91" s="13">
        <v>-150.22418584299976</v>
      </c>
      <c r="H91" s="13">
        <v>-9.035673965684063</v>
      </c>
      <c r="I91" s="170">
        <v>-7.3193814816238225</v>
      </c>
      <c r="J91" s="180"/>
      <c r="K91" s="69"/>
      <c r="L91" s="68"/>
    </row>
    <row r="92" spans="2:11" ht="11.25">
      <c r="B92" s="185"/>
      <c r="C92" s="13"/>
      <c r="D92" s="13"/>
      <c r="E92" s="13"/>
      <c r="F92" s="13"/>
      <c r="G92" s="43"/>
      <c r="H92" s="43"/>
      <c r="I92" s="168"/>
      <c r="J92" s="181"/>
      <c r="K92" s="70"/>
    </row>
    <row r="93" spans="2:12" ht="11.25">
      <c r="B93" s="182" t="s">
        <v>65</v>
      </c>
      <c r="C93" s="43">
        <v>31173.30337969</v>
      </c>
      <c r="D93" s="43">
        <v>37724.53330745424</v>
      </c>
      <c r="E93" s="43">
        <v>36645.3479118541</v>
      </c>
      <c r="F93" s="43">
        <v>-1079.1853956001432</v>
      </c>
      <c r="G93" s="43">
        <v>5472.044532164098</v>
      </c>
      <c r="H93" s="43">
        <v>-2.860699128614269</v>
      </c>
      <c r="I93" s="168">
        <v>17.55362421978429</v>
      </c>
      <c r="J93" s="180"/>
      <c r="K93" s="69"/>
      <c r="L93" s="68"/>
    </row>
    <row r="94" spans="2:11" ht="11.25">
      <c r="B94" s="182" t="s">
        <v>84</v>
      </c>
      <c r="C94" s="43">
        <v>20548.81058127</v>
      </c>
      <c r="D94" s="43">
        <v>23499.54470648</v>
      </c>
      <c r="E94" s="43">
        <v>22497.223645439994</v>
      </c>
      <c r="F94" s="43">
        <v>-1002.3210610400056</v>
      </c>
      <c r="G94" s="43">
        <v>1948.4130641699921</v>
      </c>
      <c r="H94" s="43">
        <v>-4.265278640754327</v>
      </c>
      <c r="I94" s="168">
        <v>9.481877583444891</v>
      </c>
      <c r="J94" s="181"/>
      <c r="K94" s="70"/>
    </row>
    <row r="95" spans="2:11" ht="11.25">
      <c r="B95" s="183" t="s">
        <v>153</v>
      </c>
      <c r="C95" s="13">
        <v>726.73722225</v>
      </c>
      <c r="D95" s="13">
        <v>777.36882447</v>
      </c>
      <c r="E95" s="13">
        <v>814.52121255</v>
      </c>
      <c r="F95" s="13">
        <v>37.15238807999992</v>
      </c>
      <c r="G95" s="13">
        <v>87.78399030000003</v>
      </c>
      <c r="H95" s="13">
        <v>4.779248525348304</v>
      </c>
      <c r="I95" s="170">
        <v>12.079192810328085</v>
      </c>
      <c r="J95" s="181"/>
      <c r="K95" s="70"/>
    </row>
    <row r="96" spans="2:11" ht="11.25">
      <c r="B96" s="183" t="s">
        <v>85</v>
      </c>
      <c r="C96" s="13">
        <v>11366.50959386</v>
      </c>
      <c r="D96" s="13">
        <v>14154.261028879999</v>
      </c>
      <c r="E96" s="13">
        <v>12547.111016629997</v>
      </c>
      <c r="F96" s="13">
        <v>-1607.150012250002</v>
      </c>
      <c r="G96" s="13">
        <v>1180.6014227699961</v>
      </c>
      <c r="H96" s="13">
        <v>-11.35453139496872</v>
      </c>
      <c r="I96" s="170">
        <v>10.38666631142191</v>
      </c>
      <c r="J96" s="181"/>
      <c r="K96" s="70"/>
    </row>
    <row r="97" spans="2:11" ht="11.25">
      <c r="B97" s="183" t="s">
        <v>86</v>
      </c>
      <c r="C97" s="13">
        <v>8446.030260270001</v>
      </c>
      <c r="D97" s="13">
        <v>8562.04685313</v>
      </c>
      <c r="E97" s="13">
        <v>9129.72341626</v>
      </c>
      <c r="F97" s="13">
        <v>567.6765631300004</v>
      </c>
      <c r="G97" s="13">
        <v>683.6931559899986</v>
      </c>
      <c r="H97" s="13">
        <v>6.630150159975787</v>
      </c>
      <c r="I97" s="170">
        <v>8.0948461575621</v>
      </c>
      <c r="J97" s="181"/>
      <c r="K97" s="70"/>
    </row>
    <row r="98" spans="2:11" ht="11.25">
      <c r="B98" s="183" t="s">
        <v>152</v>
      </c>
      <c r="C98" s="13">
        <v>9.533504890000001</v>
      </c>
      <c r="D98" s="13">
        <v>5.868</v>
      </c>
      <c r="E98" s="13">
        <v>5.868</v>
      </c>
      <c r="F98" s="13">
        <v>0</v>
      </c>
      <c r="G98" s="13">
        <v>-3.665504890000001</v>
      </c>
      <c r="H98" s="13">
        <v>0</v>
      </c>
      <c r="I98" s="170">
        <v>-38.44866009189198</v>
      </c>
      <c r="J98" s="181"/>
      <c r="K98" s="70"/>
    </row>
    <row r="99" spans="2:12" ht="11.25">
      <c r="B99" s="185" t="s">
        <v>87</v>
      </c>
      <c r="C99" s="13">
        <v>10634.026303310002</v>
      </c>
      <c r="D99" s="13">
        <v>14230.85660097425</v>
      </c>
      <c r="E99" s="13">
        <v>14153.99226641411</v>
      </c>
      <c r="F99" s="13">
        <v>-76.86433456013947</v>
      </c>
      <c r="G99" s="13">
        <v>3519.9659631041086</v>
      </c>
      <c r="H99" s="13">
        <v>-0.5401244402594662</v>
      </c>
      <c r="I99" s="170">
        <v>33.100971002944256</v>
      </c>
      <c r="J99" s="180"/>
      <c r="K99" s="69"/>
      <c r="L99" s="68"/>
    </row>
    <row r="100" spans="2:11" ht="11.25">
      <c r="B100" s="186"/>
      <c r="C100" s="187"/>
      <c r="D100" s="187"/>
      <c r="E100" s="187"/>
      <c r="F100" s="187"/>
      <c r="G100" s="146"/>
      <c r="H100" s="146"/>
      <c r="I100" s="175"/>
      <c r="J100" s="181"/>
      <c r="K100" s="70"/>
    </row>
    <row r="101" spans="2:9" ht="12" hidden="1" thickBot="1">
      <c r="B101" s="44" t="s">
        <v>88</v>
      </c>
      <c r="C101" s="45">
        <v>-0.002186002311646007</v>
      </c>
      <c r="D101" s="45"/>
      <c r="E101" s="45">
        <v>-0.052496489850454964</v>
      </c>
      <c r="F101" s="45"/>
      <c r="G101" s="45">
        <v>-0.05031048753880896</v>
      </c>
      <c r="H101" s="45"/>
      <c r="I101" s="45">
        <v>-0.00013978667906000553</v>
      </c>
    </row>
    <row r="102" spans="2:9" ht="11.25">
      <c r="B102" s="34"/>
      <c r="C102" s="34"/>
      <c r="D102" s="34"/>
      <c r="E102" s="34"/>
      <c r="F102" s="34"/>
      <c r="G102" s="34"/>
      <c r="H102" s="34"/>
      <c r="I102" s="34"/>
    </row>
  </sheetData>
  <sheetProtection/>
  <mergeCells count="12">
    <mergeCell ref="F79:G79"/>
    <mergeCell ref="H79:I79"/>
    <mergeCell ref="B2:I2"/>
    <mergeCell ref="B3:I3"/>
    <mergeCell ref="B77:I77"/>
    <mergeCell ref="B78:I78"/>
    <mergeCell ref="B30:I30"/>
    <mergeCell ref="B31:I31"/>
    <mergeCell ref="F4:G4"/>
    <mergeCell ref="H4:I4"/>
    <mergeCell ref="F32:G32"/>
    <mergeCell ref="H32:I32"/>
  </mergeCells>
  <printOptions/>
  <pageMargins left="0.75" right="0.75" top="1" bottom="1" header="0.5" footer="0.5"/>
  <pageSetup fitToHeight="2" fitToWidth="1" horizontalDpi="1200" verticalDpi="12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fil489</cp:lastModifiedBy>
  <cp:lastPrinted>2007-08-07T05:37:23Z</cp:lastPrinted>
  <dcterms:created xsi:type="dcterms:W3CDTF">1999-07-02T10:21:54Z</dcterms:created>
  <dcterms:modified xsi:type="dcterms:W3CDTF">2007-08-07T05:50:45Z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