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385" windowWidth="9585" windowHeight="5730" tabRatio="616" activeTab="2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'S6'!$A$1:$O$75</definedName>
    <definedName name="_xlnm.Print_Area" localSheetId="7">'S7'!$B$77:$F$101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'S6'!$A$1:$J$64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'S6'!$A$1:$J$64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'S6'!$A$1:$I$64</definedName>
  </definedNames>
  <calcPr fullCalcOnLoad="1"/>
</workbook>
</file>

<file path=xl/sharedStrings.xml><?xml version="1.0" encoding="utf-8"?>
<sst xmlns="http://schemas.openxmlformats.org/spreadsheetml/2006/main" count="240" uniqueCount="171">
  <si>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</si>
  <si>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</si>
  <si>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</si>
  <si>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</si>
  <si>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</si>
  <si>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</si>
  <si>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</si>
  <si>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</si>
  <si>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</si>
  <si>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</si>
  <si>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</si>
  <si>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</si>
  <si>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</si>
  <si>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</si>
  <si>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</si>
  <si>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</si>
  <si>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</si>
  <si>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</si>
  <si>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</si>
  <si>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</si>
  <si>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</si>
  <si>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</si>
  <si>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</si>
  <si>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</si>
  <si>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</si>
  <si>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</si>
  <si>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</si>
  <si>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</si>
  <si>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</si>
  <si>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</si>
  <si>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</si>
  <si>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</si>
  <si>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</si>
  <si>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</si>
  <si>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</si>
  <si>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</si>
  <si>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</si>
  <si>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</si>
  <si>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</si>
  <si>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</si>
  <si>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</si>
  <si>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</si>
  <si>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</si>
  <si>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</si>
  <si>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</si>
  <si>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</si>
  <si>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</si>
  <si>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</si>
  <si>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</si>
  <si>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</si>
  <si>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</si>
  <si>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</si>
  <si>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</si>
  <si>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</si>
  <si>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</si>
  <si>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</si>
  <si>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</si>
  <si>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</si>
  <si>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</si>
  <si>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</si>
  <si>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</si>
  <si>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</si>
  <si>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</si>
  <si>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</si>
  <si>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</si>
  <si>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</si>
  <si>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</si>
  <si>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</si>
  <si>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</si>
  <si>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</si>
  <si>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</si>
  <si>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</si>
  <si>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</si>
  <si>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</si>
  <si>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</si>
  <si>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</si>
  <si>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</si>
  <si>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</si>
  <si>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</si>
  <si>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</si>
  <si>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</si>
  <si>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</si>
  <si>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</si>
  <si>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</si>
  <si>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</si>
  <si>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</si>
  <si>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</si>
  <si>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</si>
  <si>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</si>
  <si>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</si>
  <si>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</si>
  <si>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</si>
  <si>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</si>
  <si>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</si>
  <si>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</si>
  <si>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</si>
  <si>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</si>
  <si>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</si>
  <si>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</si>
  <si>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</si>
  <si>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</si>
  <si>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</si>
  <si>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</si>
  <si>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</si>
  <si>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</si>
  <si>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</si>
  <si>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</si>
  <si>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</si>
  <si>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</si>
  <si>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</si>
  <si>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</si>
  <si>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</si>
  <si>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</si>
  <si>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</si>
  <si>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</si>
  <si>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</si>
  <si>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</si>
  <si>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</si>
  <si>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</si>
  <si>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</si>
  <si>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</si>
  <si>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</si>
  <si>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</si>
  <si>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</si>
  <si>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</si>
  <si>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</si>
  <si>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</si>
  <si>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</si>
  <si>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</si>
  <si>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</si>
  <si>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</si>
  <si>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</si>
  <si>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</si>
  <si>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</si>
  <si>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</si>
  <si>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</si>
  <si>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</si>
  <si>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</si>
  <si>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</si>
  <si>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</si>
  <si>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</si>
  <si>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</si>
  <si>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</si>
  <si>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</si>
  <si>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</si>
  <si>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</si>
  <si>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</si>
  <si>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</si>
  <si>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</si>
  <si>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 xml:space="preserve">       International Reserves** and Exchange rates</t>
  </si>
  <si>
    <t xml:space="preserve">     </t>
  </si>
  <si>
    <t>**International Reserves of the Bank of Namibia</t>
  </si>
  <si>
    <t xml:space="preserve">   Source: NSX</t>
  </si>
  <si>
    <t xml:space="preserve">   Source: BON</t>
  </si>
  <si>
    <t>Source: CBS &amp; STATSSA</t>
  </si>
  <si>
    <t xml:space="preserve"> Other Sector Claims = Private Sector Credit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</si>
  <si>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</si>
  <si>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</si>
  <si>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</si>
  <si>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</si>
  <si>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                         U.S Dollar/Namibia Dollar exchange rate</t>
  </si>
  <si>
    <t>Domestic claims and other sector claims (month-on-month percentage changes)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</si>
  <si>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</si>
  <si>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</si>
  <si>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</si>
  <si>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</si>
  <si>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</si>
  <si>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 xml:space="preserve">Change over </t>
  </si>
  <si>
    <t>Change in N$ mill</t>
  </si>
  <si>
    <t xml:space="preserve">   **International reserves</t>
  </si>
  <si>
    <t>n/a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</si>
</sst>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7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12"/>
      <color indexed="61"/>
      <name val="Univers"/>
      <family val="0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25"/>
      <name val="Arial"/>
      <family val="0"/>
    </font>
    <font>
      <sz val="10.75"/>
      <color indexed="16"/>
      <name val="Arial"/>
      <family val="0"/>
    </font>
    <font>
      <sz val="8"/>
      <color indexed="37"/>
      <name val="Univers"/>
      <family val="0"/>
    </font>
    <font>
      <sz val="11"/>
      <color indexed="8"/>
      <name val="Arial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5"/>
      <color indexed="8"/>
      <name val="Arial"/>
      <family val="0"/>
    </font>
    <font>
      <sz val="9.5"/>
      <color indexed="16"/>
      <name val="Arial"/>
      <family val="0"/>
    </font>
    <font>
      <b/>
      <sz val="9.25"/>
      <color indexed="16"/>
      <name val="Arial"/>
      <family val="0"/>
    </font>
    <font>
      <sz val="7.35"/>
      <color indexed="16"/>
      <name val="Arial"/>
      <family val="0"/>
    </font>
    <font>
      <sz val="9.25"/>
      <color indexed="16"/>
      <name val="Arial"/>
      <family val="0"/>
    </font>
    <font>
      <b/>
      <sz val="10"/>
      <color indexed="16"/>
      <name val="Arial"/>
      <family val="0"/>
    </font>
    <font>
      <sz val="8.25"/>
      <color indexed="16"/>
      <name val="Arial"/>
      <family val="0"/>
    </font>
    <font>
      <sz val="14.25"/>
      <color indexed="16"/>
      <name val="Arial"/>
      <family val="0"/>
    </font>
    <font>
      <b/>
      <sz val="8"/>
      <color indexed="16"/>
      <name val="Arial"/>
      <family val="0"/>
    </font>
    <font>
      <b/>
      <sz val="11"/>
      <color indexed="16"/>
      <name val="Arial"/>
      <family val="0"/>
    </font>
    <font>
      <b/>
      <sz val="9.9"/>
      <color indexed="16"/>
      <name val="Arial"/>
      <family val="0"/>
    </font>
    <font>
      <sz val="8.75"/>
      <color indexed="8"/>
      <name val="Arial"/>
      <family val="0"/>
    </font>
    <font>
      <b/>
      <sz val="8.75"/>
      <color indexed="16"/>
      <name val="Arial"/>
      <family val="0"/>
    </font>
    <font>
      <sz val="12"/>
      <color indexed="25"/>
      <name val="Arial"/>
      <family val="0"/>
    </font>
    <font>
      <sz val="9.5"/>
      <color indexed="25"/>
      <name val="Arial"/>
      <family val="0"/>
    </font>
    <font>
      <sz val="11"/>
      <color indexed="25"/>
      <name val="Arial"/>
      <family val="0"/>
    </font>
    <font>
      <sz val="14.5"/>
      <color indexed="16"/>
      <name val="Arial"/>
      <family val="0"/>
    </font>
    <font>
      <sz val="9.75"/>
      <color indexed="16"/>
      <name val="Arial"/>
      <family val="0"/>
    </font>
    <font>
      <sz val="21.25"/>
      <color indexed="8"/>
      <name val="Arial"/>
      <family val="0"/>
    </font>
    <font>
      <sz val="10.25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5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7" fillId="35" borderId="0" xfId="0" applyFont="1" applyFill="1" applyBorder="1" applyAlignment="1">
      <alignment horizontal="left" indent="1"/>
    </xf>
    <xf numFmtId="0" fontId="26" fillId="35" borderId="20" xfId="0" applyFont="1" applyFill="1" applyBorder="1" applyAlignment="1">
      <alignment/>
    </xf>
    <xf numFmtId="185" fontId="26" fillId="35" borderId="20" xfId="0" applyNumberFormat="1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35" borderId="17" xfId="0" applyFont="1" applyFill="1" applyBorder="1" applyAlignment="1">
      <alignment/>
    </xf>
    <xf numFmtId="0" fontId="15" fillId="0" borderId="20" xfId="0" applyFont="1" applyBorder="1" applyAlignment="1">
      <alignment/>
    </xf>
    <xf numFmtId="0" fontId="26" fillId="35" borderId="0" xfId="0" applyFont="1" applyFill="1" applyBorder="1" applyAlignment="1">
      <alignment horizontal="left" indent="2"/>
    </xf>
    <xf numFmtId="0" fontId="4" fillId="35" borderId="0" xfId="0" applyFont="1" applyFill="1" applyBorder="1" applyAlignment="1">
      <alignment horizontal="left" indent="3"/>
    </xf>
    <xf numFmtId="0" fontId="4" fillId="35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17" fontId="20" fillId="33" borderId="22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178" fontId="26" fillId="35" borderId="0" xfId="0" applyNumberFormat="1" applyFont="1" applyFill="1" applyBorder="1" applyAlignment="1">
      <alignment/>
    </xf>
    <xf numFmtId="185" fontId="27" fillId="35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35" borderId="0" xfId="0" applyNumberFormat="1" applyFont="1" applyFill="1" applyBorder="1" applyAlignment="1">
      <alignment horizontal="left"/>
    </xf>
    <xf numFmtId="185" fontId="26" fillId="35" borderId="0" xfId="0" applyNumberFormat="1" applyFont="1" applyFill="1" applyBorder="1" applyAlignment="1">
      <alignment horizontal="left" indent="2"/>
    </xf>
    <xf numFmtId="185" fontId="4" fillId="35" borderId="0" xfId="0" applyNumberFormat="1" applyFont="1" applyFill="1" applyBorder="1" applyAlignment="1">
      <alignment horizontal="left" indent="2"/>
    </xf>
    <xf numFmtId="0" fontId="20" fillId="33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indent="1"/>
    </xf>
    <xf numFmtId="195" fontId="10" fillId="35" borderId="23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4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185" fontId="4" fillId="35" borderId="0" xfId="64" applyNumberFormat="1" applyFont="1" applyFill="1" applyBorder="1">
      <alignment/>
      <protection/>
    </xf>
    <xf numFmtId="0" fontId="38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9" fillId="34" borderId="16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25" xfId="0" applyFont="1" applyBorder="1" applyAlignment="1">
      <alignment/>
    </xf>
    <xf numFmtId="0" fontId="37" fillId="34" borderId="25" xfId="0" applyFont="1" applyFill="1" applyBorder="1" applyAlignment="1">
      <alignment/>
    </xf>
    <xf numFmtId="2" fontId="37" fillId="0" borderId="16" xfId="0" applyNumberFormat="1" applyFont="1" applyBorder="1" applyAlignment="1">
      <alignment/>
    </xf>
    <xf numFmtId="0" fontId="37" fillId="0" borderId="15" xfId="0" applyFont="1" applyBorder="1" applyAlignment="1">
      <alignment horizontal="center"/>
    </xf>
    <xf numFmtId="0" fontId="39" fillId="34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26" xfId="0" applyFont="1" applyBorder="1" applyAlignment="1">
      <alignment/>
    </xf>
    <xf numFmtId="0" fontId="37" fillId="34" borderId="26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41" fillId="33" borderId="15" xfId="0" applyFont="1" applyFill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39" fillId="35" borderId="15" xfId="0" applyFont="1" applyFill="1" applyBorder="1" applyAlignment="1">
      <alignment/>
    </xf>
    <xf numFmtId="0" fontId="39" fillId="35" borderId="26" xfId="0" applyFont="1" applyFill="1" applyBorder="1" applyAlignment="1">
      <alignment/>
    </xf>
    <xf numFmtId="0" fontId="37" fillId="35" borderId="26" xfId="0" applyFont="1" applyFill="1" applyBorder="1" applyAlignment="1">
      <alignment/>
    </xf>
    <xf numFmtId="0" fontId="37" fillId="35" borderId="15" xfId="0" applyFont="1" applyFill="1" applyBorder="1" applyAlignment="1">
      <alignment/>
    </xf>
    <xf numFmtId="17" fontId="40" fillId="35" borderId="15" xfId="0" applyNumberFormat="1" applyFont="1" applyFill="1" applyBorder="1" applyAlignment="1">
      <alignment horizontal="center"/>
    </xf>
    <xf numFmtId="185" fontId="39" fillId="35" borderId="15" xfId="0" applyNumberFormat="1" applyFont="1" applyFill="1" applyBorder="1" applyAlignment="1">
      <alignment horizontal="center"/>
    </xf>
    <xf numFmtId="178" fontId="39" fillId="35" borderId="15" xfId="0" applyNumberFormat="1" applyFont="1" applyFill="1" applyBorder="1" applyAlignment="1">
      <alignment/>
    </xf>
    <xf numFmtId="178" fontId="39" fillId="35" borderId="15" xfId="0" applyNumberFormat="1" applyFont="1" applyFill="1" applyBorder="1" applyAlignment="1">
      <alignment horizontal="right"/>
    </xf>
    <xf numFmtId="178" fontId="39" fillId="35" borderId="26" xfId="0" applyNumberFormat="1" applyFont="1" applyFill="1" applyBorder="1" applyAlignment="1">
      <alignment/>
    </xf>
    <xf numFmtId="178" fontId="39" fillId="35" borderId="26" xfId="0" applyNumberFormat="1" applyFont="1" applyFill="1" applyBorder="1" applyAlignment="1">
      <alignment horizontal="right"/>
    </xf>
    <xf numFmtId="178" fontId="39" fillId="35" borderId="15" xfId="0" applyNumberFormat="1" applyFont="1" applyFill="1" applyBorder="1" applyAlignment="1">
      <alignment/>
    </xf>
    <xf numFmtId="178" fontId="39" fillId="35" borderId="15" xfId="0" applyNumberFormat="1" applyFont="1" applyFill="1" applyBorder="1" applyAlignment="1">
      <alignment horizontal="center"/>
    </xf>
    <xf numFmtId="178" fontId="39" fillId="35" borderId="26" xfId="0" applyNumberFormat="1" applyFont="1" applyFill="1" applyBorder="1" applyAlignment="1">
      <alignment horizontal="center"/>
    </xf>
    <xf numFmtId="0" fontId="39" fillId="35" borderId="15" xfId="0" applyFont="1" applyFill="1" applyBorder="1" applyAlignment="1">
      <alignment horizontal="right"/>
    </xf>
    <xf numFmtId="182" fontId="39" fillId="35" borderId="15" xfId="0" applyNumberFormat="1" applyFont="1" applyFill="1" applyBorder="1" applyAlignment="1">
      <alignment/>
    </xf>
    <xf numFmtId="182" fontId="39" fillId="35" borderId="15" xfId="0" applyNumberFormat="1" applyFont="1" applyFill="1" applyBorder="1" applyAlignment="1">
      <alignment horizontal="center"/>
    </xf>
    <xf numFmtId="182" fontId="39" fillId="35" borderId="15" xfId="0" applyNumberFormat="1" applyFont="1" applyFill="1" applyBorder="1" applyAlignment="1">
      <alignment horizontal="right"/>
    </xf>
    <xf numFmtId="182" fontId="39" fillId="35" borderId="26" xfId="0" applyNumberFormat="1" applyFont="1" applyFill="1" applyBorder="1" applyAlignment="1">
      <alignment horizontal="right"/>
    </xf>
    <xf numFmtId="0" fontId="39" fillId="34" borderId="15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1" fillId="34" borderId="24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9" fillId="34" borderId="24" xfId="0" applyFont="1" applyFill="1" applyBorder="1" applyAlignment="1">
      <alignment/>
    </xf>
    <xf numFmtId="0" fontId="37" fillId="0" borderId="24" xfId="0" applyFont="1" applyBorder="1" applyAlignment="1">
      <alignment/>
    </xf>
    <xf numFmtId="0" fontId="37" fillId="0" borderId="27" xfId="0" applyFont="1" applyBorder="1" applyAlignment="1">
      <alignment/>
    </xf>
    <xf numFmtId="0" fontId="37" fillId="34" borderId="27" xfId="0" applyFont="1" applyFill="1" applyBorder="1" applyAlignment="1">
      <alignment/>
    </xf>
    <xf numFmtId="2" fontId="37" fillId="0" borderId="24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6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7" fillId="37" borderId="0" xfId="0" applyFont="1" applyFill="1" applyBorder="1" applyAlignment="1">
      <alignment horizontal="left" indent="2"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0" xfId="64" applyFont="1" applyFill="1" applyBorder="1">
      <alignment/>
      <protection/>
    </xf>
    <xf numFmtId="0" fontId="27" fillId="35" borderId="0" xfId="64" applyFont="1" applyFill="1" applyBorder="1" applyAlignment="1">
      <alignment horizontal="left" indent="1"/>
      <protection/>
    </xf>
    <xf numFmtId="0" fontId="26" fillId="35" borderId="0" xfId="64" applyFont="1" applyFill="1" applyBorder="1" applyAlignment="1">
      <alignment horizontal="left"/>
      <protection/>
    </xf>
    <xf numFmtId="185" fontId="27" fillId="35" borderId="0" xfId="64" applyNumberFormat="1" applyFont="1" applyFill="1" applyBorder="1" applyAlignment="1">
      <alignment horizontal="left" indent="1"/>
      <protection/>
    </xf>
    <xf numFmtId="0" fontId="26" fillId="35" borderId="22" xfId="64" applyFont="1" applyFill="1" applyBorder="1">
      <alignment/>
      <protection/>
    </xf>
    <xf numFmtId="0" fontId="45" fillId="0" borderId="0" xfId="0" applyFont="1" applyAlignment="1">
      <alignment/>
    </xf>
    <xf numFmtId="0" fontId="4" fillId="37" borderId="20" xfId="0" applyFont="1" applyFill="1" applyBorder="1" applyAlignment="1">
      <alignment horizontal="left" indent="3"/>
    </xf>
    <xf numFmtId="0" fontId="27" fillId="35" borderId="20" xfId="0" applyFont="1" applyFill="1" applyBorder="1" applyAlignment="1">
      <alignment horizontal="left" indent="1"/>
    </xf>
    <xf numFmtId="0" fontId="13" fillId="33" borderId="13" xfId="0" applyFont="1" applyFill="1" applyBorder="1" applyAlignment="1">
      <alignment horizontal="right"/>
    </xf>
    <xf numFmtId="185" fontId="4" fillId="0" borderId="29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5" fillId="0" borderId="0" xfId="0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17" fontId="40" fillId="33" borderId="16" xfId="0" applyNumberFormat="1" applyFont="1" applyFill="1" applyBorder="1" applyAlignment="1">
      <alignment horizontal="center"/>
    </xf>
    <xf numFmtId="17" fontId="40" fillId="33" borderId="25" xfId="0" applyNumberFormat="1" applyFont="1" applyFill="1" applyBorder="1" applyAlignment="1">
      <alignment horizontal="center"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20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20" xfId="0" applyNumberFormat="1" applyFont="1" applyFill="1" applyBorder="1" applyAlignment="1">
      <alignment/>
    </xf>
    <xf numFmtId="185" fontId="4" fillId="36" borderId="20" xfId="0" applyNumberFormat="1" applyFont="1" applyFill="1" applyBorder="1" applyAlignment="1">
      <alignment/>
    </xf>
    <xf numFmtId="185" fontId="26" fillId="35" borderId="22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46" fontId="13" fillId="33" borderId="30" xfId="0" applyNumberFormat="1" applyFont="1" applyFill="1" applyBorder="1" applyAlignment="1">
      <alignment horizontal="center"/>
    </xf>
    <xf numFmtId="46" fontId="30" fillId="33" borderId="30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46" fontId="13" fillId="33" borderId="30" xfId="0" applyNumberFormat="1" applyFont="1" applyFill="1" applyBorder="1" applyAlignment="1">
      <alignment horizontal="left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33" borderId="29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5"/>
          <c:y val="0.14025"/>
          <c:w val="0.837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Chart'!$AP$7:$BB$7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'[2]M1 M2 Chart'!$AP$8:$BB$8</c:f>
              <c:numCache>
                <c:ptCount val="13"/>
                <c:pt idx="0">
                  <c:v>3.053687786141357</c:v>
                </c:pt>
                <c:pt idx="1">
                  <c:v>4.218696831444213</c:v>
                </c:pt>
                <c:pt idx="2">
                  <c:v>2.064092169580869</c:v>
                </c:pt>
                <c:pt idx="3">
                  <c:v>-1.6380485020217113</c:v>
                </c:pt>
                <c:pt idx="4">
                  <c:v>4.277929218815961</c:v>
                </c:pt>
                <c:pt idx="5">
                  <c:v>3.375699863912038</c:v>
                </c:pt>
                <c:pt idx="6">
                  <c:v>1.7061921582027462</c:v>
                </c:pt>
                <c:pt idx="7">
                  <c:v>-0.34170916060395856</c:v>
                </c:pt>
                <c:pt idx="8">
                  <c:v>3.1247813249456087</c:v>
                </c:pt>
                <c:pt idx="9">
                  <c:v>-0.8175012350289527</c:v>
                </c:pt>
                <c:pt idx="10">
                  <c:v>-2.0163592435092164</c:v>
                </c:pt>
                <c:pt idx="11">
                  <c:v>2.124264004786151</c:v>
                </c:pt>
                <c:pt idx="12">
                  <c:v>1.8639134323938458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Chart'!$AP$7:$BB$7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'[2]M1 M2 Chart'!$AP$9:$BB$9</c:f>
              <c:numCache>
                <c:ptCount val="13"/>
                <c:pt idx="0">
                  <c:v>4.073994220362538</c:v>
                </c:pt>
                <c:pt idx="1">
                  <c:v>1.5601745047783908</c:v>
                </c:pt>
                <c:pt idx="2">
                  <c:v>3.1219530629032963</c:v>
                </c:pt>
                <c:pt idx="3">
                  <c:v>-1.2778560719822774</c:v>
                </c:pt>
                <c:pt idx="4">
                  <c:v>4.381616536762638</c:v>
                </c:pt>
                <c:pt idx="5">
                  <c:v>11.541825685977763</c:v>
                </c:pt>
                <c:pt idx="6">
                  <c:v>-0.570174384078555</c:v>
                </c:pt>
                <c:pt idx="7">
                  <c:v>-3.8684085489309523</c:v>
                </c:pt>
                <c:pt idx="8">
                  <c:v>6.0581762262908185</c:v>
                </c:pt>
                <c:pt idx="9">
                  <c:v>0.8055996711286546</c:v>
                </c:pt>
                <c:pt idx="10">
                  <c:v>1.2216558177303205</c:v>
                </c:pt>
                <c:pt idx="11">
                  <c:v>0.2938067770753827</c:v>
                </c:pt>
                <c:pt idx="12">
                  <c:v>0.41015757279167386</c:v>
                </c:pt>
              </c:numCache>
            </c:numRef>
          </c:val>
          <c:smooth val="0"/>
        </c:ser>
        <c:marker val="1"/>
        <c:axId val="61850021"/>
        <c:axId val="19779278"/>
      </c:lineChart>
      <c:catAx>
        <c:axId val="6185002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19779278"/>
        <c:crosses val="autoZero"/>
        <c:auto val="1"/>
        <c:lblOffset val="100"/>
        <c:tickLblSkip val="1"/>
        <c:noMultiLvlLbl val="0"/>
      </c:catAx>
      <c:valAx>
        <c:axId val="19779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6185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39"/>
          <c:w val="0.538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9875"/>
          <c:w val="0.923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chart'!$AO$10:$BA$10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'[2] PSC chart'!$AO$11:$BA$11</c:f>
              <c:numCache>
                <c:ptCount val="13"/>
                <c:pt idx="0">
                  <c:v>4.374669762710496</c:v>
                </c:pt>
                <c:pt idx="1">
                  <c:v>2.6579112339420976</c:v>
                </c:pt>
                <c:pt idx="2">
                  <c:v>-1.7217054446794489</c:v>
                </c:pt>
                <c:pt idx="3">
                  <c:v>2.56009021400702</c:v>
                </c:pt>
                <c:pt idx="4">
                  <c:v>0.20969565247536456</c:v>
                </c:pt>
                <c:pt idx="5">
                  <c:v>-1.5314771320431253</c:v>
                </c:pt>
                <c:pt idx="6">
                  <c:v>2.9984069201778913</c:v>
                </c:pt>
                <c:pt idx="7">
                  <c:v>0.2131848422549674</c:v>
                </c:pt>
                <c:pt idx="8">
                  <c:v>-6.01361231956756</c:v>
                </c:pt>
                <c:pt idx="9">
                  <c:v>3.468989134525586</c:v>
                </c:pt>
                <c:pt idx="10">
                  <c:v>-1.1060404066356289</c:v>
                </c:pt>
                <c:pt idx="11">
                  <c:v>-2.5080256273845984</c:v>
                </c:pt>
                <c:pt idx="12">
                  <c:v>3.6996475995276263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chart'!$AO$10:$BA$10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'[2] PSC chart'!$AO$12:$BA$12</c:f>
              <c:numCache>
                <c:ptCount val="13"/>
                <c:pt idx="0">
                  <c:v>1.673006597960738</c:v>
                </c:pt>
                <c:pt idx="1">
                  <c:v>0.5301595046702494</c:v>
                </c:pt>
                <c:pt idx="2">
                  <c:v>2.723141408263861</c:v>
                </c:pt>
                <c:pt idx="3">
                  <c:v>0.25593587875896684</c:v>
                </c:pt>
                <c:pt idx="4">
                  <c:v>0.057520487008683195</c:v>
                </c:pt>
                <c:pt idx="5">
                  <c:v>1.4821953880777343</c:v>
                </c:pt>
                <c:pt idx="6">
                  <c:v>0.15550027153967988</c:v>
                </c:pt>
                <c:pt idx="7">
                  <c:v>0.6583832117324644</c:v>
                </c:pt>
                <c:pt idx="8">
                  <c:v>2.5491633077906704</c:v>
                </c:pt>
                <c:pt idx="9">
                  <c:v>1.43400578490035</c:v>
                </c:pt>
                <c:pt idx="10">
                  <c:v>0.775029504938087</c:v>
                </c:pt>
                <c:pt idx="11">
                  <c:v>0.4128579839358425</c:v>
                </c:pt>
                <c:pt idx="12">
                  <c:v>0.13441753430499181</c:v>
                </c:pt>
              </c:numCache>
            </c:numRef>
          </c:val>
          <c:smooth val="0"/>
        </c:ser>
        <c:marker val="1"/>
        <c:axId val="43795775"/>
        <c:axId val="58617656"/>
      </c:lineChart>
      <c:catAx>
        <c:axId val="4379577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800000"/>
                </a:solidFill>
              </a:defRPr>
            </a:pPr>
          </a:p>
        </c:txPr>
        <c:crossAx val="58617656"/>
        <c:crosses val="autoZero"/>
        <c:auto val="1"/>
        <c:lblOffset val="100"/>
        <c:tickLblSkip val="1"/>
        <c:noMultiLvlLbl val="0"/>
      </c:catAx>
      <c:valAx>
        <c:axId val="58617656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43795775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91275"/>
          <c:w val="0.434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75"/>
          <c:w val="0.924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'[3]Inflation CPIX -NCPI'!$B$21:$B$33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39173</c:v>
                </c:pt>
                <c:pt idx="12">
                  <c:v>39204</c:v>
                </c:pt>
              </c:numCache>
            </c:numRef>
          </c:cat>
          <c:val>
            <c:numRef>
              <c:f>'[3]Inflation CPIX -NCPI'!$C$21:$C$33</c:f>
              <c:numCache>
                <c:ptCount val="13"/>
                <c:pt idx="0">
                  <c:v>4.1</c:v>
                </c:pt>
                <c:pt idx="1">
                  <c:v>4.8</c:v>
                </c:pt>
                <c:pt idx="2">
                  <c:v>4.9</c:v>
                </c:pt>
                <c:pt idx="3">
                  <c:v>5</c:v>
                </c:pt>
                <c:pt idx="4">
                  <c:v>5.1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5.3</c:v>
                </c:pt>
                <c:pt idx="9">
                  <c:v>4.9</c:v>
                </c:pt>
                <c:pt idx="10">
                  <c:v>5.5</c:v>
                </c:pt>
                <c:pt idx="11">
                  <c:v>6.3</c:v>
                </c:pt>
                <c:pt idx="12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'[3]Inflation CPIX -NCPI'!$B$21:$B$33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39173</c:v>
                </c:pt>
                <c:pt idx="12">
                  <c:v>39204</c:v>
                </c:pt>
              </c:numCache>
            </c:numRef>
          </c:cat>
          <c:val>
            <c:numRef>
              <c:f>'[3]Inflation CPIX -NCPI'!$D$21:$D$33</c:f>
              <c:numCache>
                <c:ptCount val="13"/>
                <c:pt idx="0">
                  <c:v>5.1</c:v>
                </c:pt>
                <c:pt idx="1">
                  <c:v>5.3</c:v>
                </c:pt>
                <c:pt idx="2">
                  <c:v>5.1</c:v>
                </c:pt>
                <c:pt idx="3">
                  <c:v>5.4</c:v>
                </c:pt>
                <c:pt idx="4">
                  <c:v>5.5</c:v>
                </c:pt>
                <c:pt idx="5">
                  <c:v>5.8</c:v>
                </c:pt>
                <c:pt idx="6">
                  <c:v>6.1</c:v>
                </c:pt>
                <c:pt idx="7">
                  <c:v>6.1</c:v>
                </c:pt>
                <c:pt idx="8">
                  <c:v>6</c:v>
                </c:pt>
                <c:pt idx="9">
                  <c:v>6</c:v>
                </c:pt>
                <c:pt idx="10">
                  <c:v>6.3</c:v>
                </c:pt>
                <c:pt idx="11">
                  <c:v>6.9</c:v>
                </c:pt>
                <c:pt idx="12">
                  <c:v>7.1</c:v>
                </c:pt>
              </c:numCache>
            </c:numRef>
          </c:val>
          <c:smooth val="0"/>
        </c:ser>
        <c:marker val="1"/>
        <c:axId val="57796857"/>
        <c:axId val="50409666"/>
      </c:lineChart>
      <c:catAx>
        <c:axId val="5779685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50409666"/>
        <c:crosses val="autoZero"/>
        <c:auto val="1"/>
        <c:lblOffset val="100"/>
        <c:tickLblSkip val="1"/>
        <c:noMultiLvlLbl val="0"/>
      </c:catAx>
      <c:valAx>
        <c:axId val="50409666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57796857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25"/>
          <c:y val="0.91975"/>
          <c:w val="0.616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1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"/>
          <c:w val="0.89"/>
          <c:h val="0.8797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'[4]Data'!$D$193:$D$205</c:f>
              <c:numCache>
                <c:ptCount val="13"/>
                <c:pt idx="0">
                  <c:v>38839</c:v>
                </c:pt>
                <c:pt idx="1">
                  <c:v>38870</c:v>
                </c:pt>
                <c:pt idx="2">
                  <c:v>38900</c:v>
                </c:pt>
                <c:pt idx="3">
                  <c:v>38931</c:v>
                </c:pt>
                <c:pt idx="4">
                  <c:v>38962</c:v>
                </c:pt>
                <c:pt idx="5">
                  <c:v>38992</c:v>
                </c:pt>
                <c:pt idx="6">
                  <c:v>39023</c:v>
                </c:pt>
                <c:pt idx="7">
                  <c:v>39053</c:v>
                </c:pt>
                <c:pt idx="8">
                  <c:v>39084</c:v>
                </c:pt>
                <c:pt idx="9">
                  <c:v>39115</c:v>
                </c:pt>
                <c:pt idx="10">
                  <c:v>39143</c:v>
                </c:pt>
                <c:pt idx="11">
                  <c:v>39174</c:v>
                </c:pt>
                <c:pt idx="12">
                  <c:v>39204</c:v>
                </c:pt>
              </c:numCache>
            </c:numRef>
          </c:cat>
          <c:val>
            <c:numRef>
              <c:f>'[4]Data'!$F$193:$F$205</c:f>
              <c:numCache>
                <c:ptCount val="13"/>
                <c:pt idx="0">
                  <c:v>7</c:v>
                </c:pt>
                <c:pt idx="1">
                  <c:v>7.5</c:v>
                </c:pt>
                <c:pt idx="2">
                  <c:v>7.5</c:v>
                </c:pt>
                <c:pt idx="3">
                  <c:v>8</c:v>
                </c:pt>
                <c:pt idx="4">
                  <c:v>8</c:v>
                </c:pt>
                <c:pt idx="5">
                  <c:v>8.5</c:v>
                </c:pt>
                <c:pt idx="6">
                  <c:v>8.5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'[4]Data'!$D$193:$D$205</c:f>
              <c:numCache>
                <c:ptCount val="13"/>
                <c:pt idx="0">
                  <c:v>38839</c:v>
                </c:pt>
                <c:pt idx="1">
                  <c:v>38870</c:v>
                </c:pt>
                <c:pt idx="2">
                  <c:v>38900</c:v>
                </c:pt>
                <c:pt idx="3">
                  <c:v>38931</c:v>
                </c:pt>
                <c:pt idx="4">
                  <c:v>38962</c:v>
                </c:pt>
                <c:pt idx="5">
                  <c:v>38992</c:v>
                </c:pt>
                <c:pt idx="6">
                  <c:v>39023</c:v>
                </c:pt>
                <c:pt idx="7">
                  <c:v>39053</c:v>
                </c:pt>
                <c:pt idx="8">
                  <c:v>39084</c:v>
                </c:pt>
                <c:pt idx="9">
                  <c:v>39115</c:v>
                </c:pt>
                <c:pt idx="10">
                  <c:v>39143</c:v>
                </c:pt>
                <c:pt idx="11">
                  <c:v>39174</c:v>
                </c:pt>
                <c:pt idx="12">
                  <c:v>39204</c:v>
                </c:pt>
              </c:numCache>
            </c:numRef>
          </c:cat>
          <c:val>
            <c:numRef>
              <c:f>'[4]Data'!$K$193:$K$205</c:f>
              <c:numCache>
                <c:ptCount val="13"/>
                <c:pt idx="0">
                  <c:v>6.13</c:v>
                </c:pt>
                <c:pt idx="1">
                  <c:v>6.24</c:v>
                </c:pt>
                <c:pt idx="2">
                  <c:v>6.18</c:v>
                </c:pt>
                <c:pt idx="3">
                  <c:v>6.34</c:v>
                </c:pt>
                <c:pt idx="4">
                  <c:v>6.22</c:v>
                </c:pt>
                <c:pt idx="5">
                  <c:v>6.37</c:v>
                </c:pt>
                <c:pt idx="6">
                  <c:v>6.64</c:v>
                </c:pt>
                <c:pt idx="7">
                  <c:v>6.85</c:v>
                </c:pt>
                <c:pt idx="8">
                  <c:v>6.98</c:v>
                </c:pt>
                <c:pt idx="9">
                  <c:v>7.38</c:v>
                </c:pt>
                <c:pt idx="10">
                  <c:v>7.22</c:v>
                </c:pt>
                <c:pt idx="11">
                  <c:v>7.18</c:v>
                </c:pt>
                <c:pt idx="12">
                  <c:v>7.34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'[4]Data'!$D$193:$D$205</c:f>
              <c:numCache>
                <c:ptCount val="13"/>
                <c:pt idx="0">
                  <c:v>38839</c:v>
                </c:pt>
                <c:pt idx="1">
                  <c:v>38870</c:v>
                </c:pt>
                <c:pt idx="2">
                  <c:v>38900</c:v>
                </c:pt>
                <c:pt idx="3">
                  <c:v>38931</c:v>
                </c:pt>
                <c:pt idx="4">
                  <c:v>38962</c:v>
                </c:pt>
                <c:pt idx="5">
                  <c:v>38992</c:v>
                </c:pt>
                <c:pt idx="6">
                  <c:v>39023</c:v>
                </c:pt>
                <c:pt idx="7">
                  <c:v>39053</c:v>
                </c:pt>
                <c:pt idx="8">
                  <c:v>39084</c:v>
                </c:pt>
                <c:pt idx="9">
                  <c:v>39115</c:v>
                </c:pt>
                <c:pt idx="10">
                  <c:v>39143</c:v>
                </c:pt>
                <c:pt idx="11">
                  <c:v>39174</c:v>
                </c:pt>
                <c:pt idx="12">
                  <c:v>39204</c:v>
                </c:pt>
              </c:numCache>
            </c:numRef>
          </c:cat>
          <c:val>
            <c:numRef>
              <c:f>'[4]Data'!$L$193:$L$205</c:f>
              <c:numCache>
                <c:ptCount val="13"/>
                <c:pt idx="0">
                  <c:v>10.8</c:v>
                </c:pt>
                <c:pt idx="1">
                  <c:v>10.61</c:v>
                </c:pt>
                <c:pt idx="2">
                  <c:v>10.93</c:v>
                </c:pt>
                <c:pt idx="3">
                  <c:v>11.01</c:v>
                </c:pt>
                <c:pt idx="4">
                  <c:v>11.71</c:v>
                </c:pt>
                <c:pt idx="5">
                  <c:v>11.97</c:v>
                </c:pt>
                <c:pt idx="6">
                  <c:v>12.2</c:v>
                </c:pt>
                <c:pt idx="7">
                  <c:v>12.43</c:v>
                </c:pt>
                <c:pt idx="8">
                  <c:v>12.63</c:v>
                </c:pt>
                <c:pt idx="9">
                  <c:v>12.32</c:v>
                </c:pt>
                <c:pt idx="10">
                  <c:v>11.9</c:v>
                </c:pt>
                <c:pt idx="11">
                  <c:v>12.44</c:v>
                </c:pt>
                <c:pt idx="12">
                  <c:v>12.65</c:v>
                </c:pt>
              </c:numCache>
            </c:numRef>
          </c:val>
          <c:smooth val="0"/>
        </c:ser>
        <c:marker val="1"/>
        <c:axId val="51033811"/>
        <c:axId val="56651116"/>
      </c:lineChart>
      <c:catAx>
        <c:axId val="5103381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56651116"/>
        <c:crossesAt val="0"/>
        <c:auto val="1"/>
        <c:lblOffset val="100"/>
        <c:tickLblSkip val="1"/>
        <c:noMultiLvlLbl val="0"/>
      </c:catAx>
      <c:valAx>
        <c:axId val="56651116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800000"/>
                </a:solidFill>
              </a:defRPr>
            </a:pPr>
          </a:p>
        </c:txPr>
        <c:crossAx val="51033811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2"/>
          <c:y val="0.91275"/>
          <c:w val="0.519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1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8325"/>
          <c:w val="0.88325"/>
          <c:h val="0.831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indices'!$B$127:$B$139</c:f>
              <c:numCache>
                <c:ptCount val="13"/>
                <c:pt idx="0">
                  <c:v>38838</c:v>
                </c:pt>
                <c:pt idx="1">
                  <c:v>38869</c:v>
                </c:pt>
                <c:pt idx="2">
                  <c:v>38899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'[5]Monthly indices'!$C$127:$C$139</c:f>
              <c:numCache>
                <c:ptCount val="13"/>
                <c:pt idx="0">
                  <c:v>682</c:v>
                </c:pt>
                <c:pt idx="1">
                  <c:v>665.85</c:v>
                </c:pt>
                <c:pt idx="2">
                  <c:v>688.72</c:v>
                </c:pt>
                <c:pt idx="3">
                  <c:v>727.36</c:v>
                </c:pt>
                <c:pt idx="4">
                  <c:v>754.36</c:v>
                </c:pt>
                <c:pt idx="5">
                  <c:v>790.35</c:v>
                </c:pt>
                <c:pt idx="6">
                  <c:v>792.6</c:v>
                </c:pt>
                <c:pt idx="7">
                  <c:v>828</c:v>
                </c:pt>
                <c:pt idx="8">
                  <c:v>838.25</c:v>
                </c:pt>
                <c:pt idx="9">
                  <c:v>852.78</c:v>
                </c:pt>
                <c:pt idx="10">
                  <c:v>911.26</c:v>
                </c:pt>
                <c:pt idx="11">
                  <c:v>935.28</c:v>
                </c:pt>
                <c:pt idx="12">
                  <c:v>977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0097997"/>
        <c:axId val="25337654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'[5]Monthly indices'!$D$127:$D$139</c:f>
              <c:numCache>
                <c:ptCount val="13"/>
                <c:pt idx="0">
                  <c:v>79</c:v>
                </c:pt>
                <c:pt idx="1">
                  <c:v>80.95</c:v>
                </c:pt>
                <c:pt idx="2">
                  <c:v>83.73</c:v>
                </c:pt>
                <c:pt idx="3">
                  <c:v>82.05</c:v>
                </c:pt>
                <c:pt idx="4">
                  <c:v>82.05</c:v>
                </c:pt>
                <c:pt idx="5">
                  <c:v>86.01</c:v>
                </c:pt>
                <c:pt idx="6">
                  <c:v>88.1</c:v>
                </c:pt>
                <c:pt idx="7">
                  <c:v>91</c:v>
                </c:pt>
                <c:pt idx="8">
                  <c:v>92.2</c:v>
                </c:pt>
                <c:pt idx="9">
                  <c:v>94.25</c:v>
                </c:pt>
                <c:pt idx="10">
                  <c:v>101.61</c:v>
                </c:pt>
                <c:pt idx="11">
                  <c:v>102.32</c:v>
                </c:pt>
                <c:pt idx="12">
                  <c:v>104</c:v>
                </c:pt>
              </c:numCache>
            </c:numRef>
          </c:val>
          <c:smooth val="0"/>
        </c:ser>
        <c:marker val="1"/>
        <c:axId val="26712295"/>
        <c:axId val="39084064"/>
      </c:lineChart>
      <c:catAx>
        <c:axId val="40097997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25337654"/>
        <c:crossesAt val="250"/>
        <c:auto val="1"/>
        <c:lblOffset val="100"/>
        <c:tickLblSkip val="1"/>
        <c:noMultiLvlLbl val="0"/>
      </c:catAx>
      <c:valAx>
        <c:axId val="25337654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93366"/>
                </a:solidFill>
              </a:defRPr>
            </a:pPr>
          </a:p>
        </c:txPr>
        <c:crossAx val="40097997"/>
        <c:crossesAt val="1"/>
        <c:crossBetween val="between"/>
        <c:dispUnits/>
        <c:majorUnit val="150"/>
        <c:minorUnit val="50"/>
      </c:valAx>
      <c:catAx>
        <c:axId val="26712295"/>
        <c:scaling>
          <c:orientation val="minMax"/>
        </c:scaling>
        <c:axPos val="b"/>
        <c:delete val="1"/>
        <c:majorTickMark val="out"/>
        <c:minorTickMark val="none"/>
        <c:tickLblPos val="nextTo"/>
        <c:crossAx val="39084064"/>
        <c:crosses val="autoZero"/>
        <c:auto val="1"/>
        <c:lblOffset val="100"/>
        <c:tickLblSkip val="1"/>
        <c:noMultiLvlLbl val="0"/>
      </c:catAx>
      <c:valAx>
        <c:axId val="39084064"/>
        <c:scaling>
          <c:orientation val="minMax"/>
          <c:max val="110"/>
          <c:min val="7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93366"/>
                </a:solidFill>
              </a:defRPr>
            </a:pPr>
          </a:p>
        </c:txPr>
        <c:crossAx val="267122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5"/>
          <c:y val="0.92575"/>
          <c:w val="0.551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95"/>
          <c:w val="0.95375"/>
          <c:h val="0.960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'S5'!$AP$4:$BB$4</c:f>
              <c:strCache>
                <c:ptCount val="13"/>
                <c:pt idx="0">
                  <c:v>38838</c:v>
                </c:pt>
                <c:pt idx="1">
                  <c:v>38869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strCache>
            </c:strRef>
          </c:cat>
          <c:val>
            <c:numRef>
              <c:f>'S5'!$AP$13:$BB$13</c:f>
              <c:numCache>
                <c:ptCount val="13"/>
                <c:pt idx="0">
                  <c:v>0.15823035174607195</c:v>
                </c:pt>
                <c:pt idx="1">
                  <c:v>0.14378351953299112</c:v>
                </c:pt>
                <c:pt idx="2">
                  <c:v>0.14115720678119223</c:v>
                </c:pt>
                <c:pt idx="3">
                  <c:v>0.14377525052837403</c:v>
                </c:pt>
                <c:pt idx="4">
                  <c:v>0.1349564090798672</c:v>
                </c:pt>
                <c:pt idx="5">
                  <c:v>0.13073262563405322</c:v>
                </c:pt>
                <c:pt idx="6">
                  <c:v>0.1377676135893974</c:v>
                </c:pt>
                <c:pt idx="7">
                  <c:v>0.14203334943044627</c:v>
                </c:pt>
                <c:pt idx="8">
                  <c:v>0.13920209359948774</c:v>
                </c:pt>
                <c:pt idx="9">
                  <c:v>0.13947390443248067</c:v>
                </c:pt>
                <c:pt idx="10">
                  <c:v>0.13602851157602633</c:v>
                </c:pt>
                <c:pt idx="11">
                  <c:v>0.14041788362165805</c:v>
                </c:pt>
                <c:pt idx="12">
                  <c:v>0.14247652699217803</c:v>
                </c:pt>
              </c:numCache>
            </c:numRef>
          </c:val>
          <c:smooth val="0"/>
        </c:ser>
        <c:marker val="1"/>
        <c:axId val="16212257"/>
        <c:axId val="11692586"/>
      </c:lineChart>
      <c:dateAx>
        <c:axId val="1621225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450" b="0" i="0" u="none" baseline="0">
                <a:solidFill>
                  <a:srgbClr val="800000"/>
                </a:solidFill>
              </a:defRPr>
            </a:pPr>
          </a:p>
        </c:txPr>
        <c:crossAx val="11692586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692586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16212257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9"/>
          <c:w val="0.954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chart'!$AQ$2:$BC$2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'[2]Int reser chart'!$AQ$3:$BC$3</c:f>
              <c:numCache>
                <c:ptCount val="13"/>
                <c:pt idx="0">
                  <c:v>2973.0466378130004</c:v>
                </c:pt>
                <c:pt idx="1">
                  <c:v>2677.9226340200003</c:v>
                </c:pt>
                <c:pt idx="2">
                  <c:v>3313.1347334800002</c:v>
                </c:pt>
                <c:pt idx="3">
                  <c:v>2760.7403289100002</c:v>
                </c:pt>
                <c:pt idx="4">
                  <c:v>3119.24184594</c:v>
                </c:pt>
                <c:pt idx="5">
                  <c:v>4104.408667917</c:v>
                </c:pt>
                <c:pt idx="6">
                  <c:v>3495.223781143</c:v>
                </c:pt>
                <c:pt idx="7">
                  <c:v>3164.29667116</c:v>
                </c:pt>
                <c:pt idx="8">
                  <c:v>4865.564786686</c:v>
                </c:pt>
                <c:pt idx="9">
                  <c:v>4466.368215629998</c:v>
                </c:pt>
                <c:pt idx="10">
                  <c:v>5690.014632319999</c:v>
                </c:pt>
                <c:pt idx="11">
                  <c:v>6260.11796704</c:v>
                </c:pt>
                <c:pt idx="12">
                  <c:v>5643.79369454</c:v>
                </c:pt>
              </c:numCache>
            </c:numRef>
          </c:val>
        </c:ser>
        <c:axId val="38124411"/>
        <c:axId val="7575380"/>
      </c:barChart>
      <c:catAx>
        <c:axId val="3812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7575380"/>
        <c:crosses val="autoZero"/>
        <c:auto val="1"/>
        <c:lblOffset val="100"/>
        <c:tickLblSkip val="1"/>
        <c:noMultiLvlLbl val="0"/>
      </c:catAx>
      <c:valAx>
        <c:axId val="757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800000"/>
                </a:solidFill>
              </a:defRPr>
            </a:pPr>
          </a:p>
        </c:txPr>
        <c:crossAx val="38124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171450</xdr:rowOff>
    </xdr:from>
    <xdr:to>
      <xdr:col>12</xdr:col>
      <xdr:colOff>228600</xdr:colOff>
      <xdr:row>19</xdr:row>
      <xdr:rowOff>142875</xdr:rowOff>
    </xdr:to>
    <xdr:graphicFrame>
      <xdr:nvGraphicFramePr>
        <xdr:cNvPr id="1" name="Chart 142"/>
        <xdr:cNvGraphicFramePr/>
      </xdr:nvGraphicFramePr>
      <xdr:xfrm>
        <a:off x="438150" y="523875"/>
        <a:ext cx="7219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26</xdr:row>
      <xdr:rowOff>0</xdr:rowOff>
    </xdr:from>
    <xdr:to>
      <xdr:col>12</xdr:col>
      <xdr:colOff>295275</xdr:colOff>
      <xdr:row>44</xdr:row>
      <xdr:rowOff>28575</xdr:rowOff>
    </xdr:to>
    <xdr:graphicFrame>
      <xdr:nvGraphicFramePr>
        <xdr:cNvPr id="2" name="Chart 144"/>
        <xdr:cNvGraphicFramePr/>
      </xdr:nvGraphicFramePr>
      <xdr:xfrm>
        <a:off x="419100" y="4781550"/>
        <a:ext cx="73056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28575</xdr:rowOff>
    </xdr:from>
    <xdr:to>
      <xdr:col>16</xdr:col>
      <xdr:colOff>523875</xdr:colOff>
      <xdr:row>77</xdr:row>
      <xdr:rowOff>152400</xdr:rowOff>
    </xdr:to>
    <xdr:graphicFrame>
      <xdr:nvGraphicFramePr>
        <xdr:cNvPr id="1" name="Chart 165"/>
        <xdr:cNvGraphicFramePr/>
      </xdr:nvGraphicFramePr>
      <xdr:xfrm>
        <a:off x="609600" y="11134725"/>
        <a:ext cx="90582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16</xdr:col>
      <xdr:colOff>533400</xdr:colOff>
      <xdr:row>24</xdr:row>
      <xdr:rowOff>76200</xdr:rowOff>
    </xdr:to>
    <xdr:graphicFrame>
      <xdr:nvGraphicFramePr>
        <xdr:cNvPr id="2" name="Chart 167"/>
        <xdr:cNvGraphicFramePr/>
      </xdr:nvGraphicFramePr>
      <xdr:xfrm>
        <a:off x="609600" y="752475"/>
        <a:ext cx="90678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16</xdr:col>
      <xdr:colOff>514350</xdr:colOff>
      <xdr:row>50</xdr:row>
      <xdr:rowOff>180975</xdr:rowOff>
    </xdr:to>
    <xdr:graphicFrame>
      <xdr:nvGraphicFramePr>
        <xdr:cNvPr id="3" name="Chart 334"/>
        <xdr:cNvGraphicFramePr/>
      </xdr:nvGraphicFramePr>
      <xdr:xfrm>
        <a:off x="609600" y="5943600"/>
        <a:ext cx="904875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38</xdr:row>
      <xdr:rowOff>123825</xdr:rowOff>
    </xdr:from>
    <xdr:to>
      <xdr:col>15</xdr:col>
      <xdr:colOff>123825</xdr:colOff>
      <xdr:row>65</xdr:row>
      <xdr:rowOff>142875</xdr:rowOff>
    </xdr:to>
    <xdr:graphicFrame>
      <xdr:nvGraphicFramePr>
        <xdr:cNvPr id="1" name="Chart 9"/>
        <xdr:cNvGraphicFramePr/>
      </xdr:nvGraphicFramePr>
      <xdr:xfrm>
        <a:off x="685800" y="6353175"/>
        <a:ext cx="85534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15</xdr:col>
      <xdr:colOff>123825</xdr:colOff>
      <xdr:row>31</xdr:row>
      <xdr:rowOff>142875</xdr:rowOff>
    </xdr:to>
    <xdr:graphicFrame>
      <xdr:nvGraphicFramePr>
        <xdr:cNvPr id="2" name="Chart 47"/>
        <xdr:cNvGraphicFramePr/>
      </xdr:nvGraphicFramePr>
      <xdr:xfrm>
        <a:off x="609600" y="847725"/>
        <a:ext cx="86296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table ii.6"/>
      <sheetName val="Table ii.1 (a)"/>
      <sheetName val="Table ii. 1 (b)"/>
      <sheetName val="Table ii. 2 (b)"/>
      <sheetName val="Table ii. 5"/>
      <sheetName val="Table ii. 2 (a)"/>
      <sheetName val="Components &amp; Determina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P7">
            <v>38868</v>
          </cell>
          <cell r="AQ7">
            <v>38898</v>
          </cell>
          <cell r="AR7">
            <v>38929</v>
          </cell>
          <cell r="AS7">
            <v>38960</v>
          </cell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  <cell r="AY7">
            <v>39141</v>
          </cell>
          <cell r="AZ7">
            <v>39172</v>
          </cell>
          <cell r="BA7">
            <v>39202</v>
          </cell>
          <cell r="BB7">
            <v>39233</v>
          </cell>
        </row>
        <row r="8">
          <cell r="AP8">
            <v>3.053687786141357</v>
          </cell>
          <cell r="AQ8">
            <v>4.218696831444213</v>
          </cell>
          <cell r="AR8">
            <v>2.064092169580869</v>
          </cell>
          <cell r="AS8">
            <v>-1.6380485020217113</v>
          </cell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  <cell r="AY8">
            <v>-0.8175012350289527</v>
          </cell>
          <cell r="AZ8">
            <v>-2.0163592435092164</v>
          </cell>
          <cell r="BA8">
            <v>2.124264004786151</v>
          </cell>
          <cell r="BB8">
            <v>1.8639134323938458</v>
          </cell>
        </row>
        <row r="9">
          <cell r="AP9">
            <v>4.073994220362538</v>
          </cell>
          <cell r="AQ9">
            <v>1.5601745047783908</v>
          </cell>
          <cell r="AR9">
            <v>3.1219530629032963</v>
          </cell>
          <cell r="AS9">
            <v>-1.2778560719822774</v>
          </cell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  <cell r="AY9">
            <v>0.8055996711286546</v>
          </cell>
          <cell r="AZ9">
            <v>1.2216558177303205</v>
          </cell>
          <cell r="BA9">
            <v>0.2938067770753827</v>
          </cell>
          <cell r="BB9">
            <v>0.41015757279167386</v>
          </cell>
        </row>
      </sheetData>
      <sheetData sheetId="8">
        <row r="2">
          <cell r="AQ2">
            <v>38868</v>
          </cell>
          <cell r="AR2">
            <v>38898</v>
          </cell>
          <cell r="AS2">
            <v>38929</v>
          </cell>
          <cell r="AT2">
            <v>38960</v>
          </cell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</row>
        <row r="3">
          <cell r="AQ3">
            <v>2973.0466378130004</v>
          </cell>
          <cell r="AR3">
            <v>2677.9226340200003</v>
          </cell>
          <cell r="AS3">
            <v>3313.1347334800002</v>
          </cell>
          <cell r="AT3">
            <v>2760.7403289100002</v>
          </cell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</row>
      </sheetData>
      <sheetData sheetId="9">
        <row r="10">
          <cell r="AO10">
            <v>38868</v>
          </cell>
          <cell r="AP10">
            <v>38898</v>
          </cell>
          <cell r="AQ10">
            <v>38929</v>
          </cell>
          <cell r="AR10">
            <v>38960</v>
          </cell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  <cell r="AX10">
            <v>39141</v>
          </cell>
          <cell r="AY10">
            <v>39172</v>
          </cell>
          <cell r="AZ10">
            <v>39202</v>
          </cell>
          <cell r="BA10">
            <v>39233</v>
          </cell>
        </row>
        <row r="11">
          <cell r="B11" t="str">
            <v>Dom claims</v>
          </cell>
          <cell r="AO11">
            <v>4.374669762710496</v>
          </cell>
          <cell r="AP11">
            <v>2.6579112339420976</v>
          </cell>
          <cell r="AQ11">
            <v>-1.7217054446794489</v>
          </cell>
          <cell r="AR11">
            <v>2.56009021400702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  <cell r="AX11">
            <v>3.468989134525586</v>
          </cell>
          <cell r="AY11">
            <v>-1.1060404066356289</v>
          </cell>
          <cell r="AZ11">
            <v>-2.5080256273845984</v>
          </cell>
          <cell r="BA11">
            <v>3.6996475995276263</v>
          </cell>
        </row>
        <row r="12">
          <cell r="B12" t="str">
            <v>Other Sectors Claims</v>
          </cell>
          <cell r="AO12">
            <v>1.673006597960738</v>
          </cell>
          <cell r="AP12">
            <v>0.5301595046702494</v>
          </cell>
          <cell r="AQ12">
            <v>2.723141408263861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  <cell r="AX12">
            <v>1.43400578490035</v>
          </cell>
          <cell r="AY12">
            <v>0.775029504938087</v>
          </cell>
          <cell r="AZ12">
            <v>0.4128579839358425</v>
          </cell>
          <cell r="BA12">
            <v>0.13441753430499181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39172</v>
          </cell>
          <cell r="C31">
            <v>5.5</v>
          </cell>
          <cell r="D31">
            <v>6.3</v>
          </cell>
        </row>
        <row r="32">
          <cell r="B32">
            <v>39173</v>
          </cell>
          <cell r="C32">
            <v>6.3</v>
          </cell>
          <cell r="D32">
            <v>6.9</v>
          </cell>
        </row>
        <row r="33">
          <cell r="B33">
            <v>39204</v>
          </cell>
          <cell r="C33">
            <v>6.4</v>
          </cell>
          <cell r="D33">
            <v>7.1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  <row r="202">
          <cell r="D202">
            <v>39115</v>
          </cell>
          <cell r="F202">
            <v>9</v>
          </cell>
          <cell r="K202">
            <v>7.38</v>
          </cell>
          <cell r="L202">
            <v>12.32</v>
          </cell>
        </row>
        <row r="203">
          <cell r="D203">
            <v>39143</v>
          </cell>
          <cell r="F203">
            <v>9</v>
          </cell>
          <cell r="K203">
            <v>7.22</v>
          </cell>
          <cell r="L203">
            <v>11.9</v>
          </cell>
        </row>
        <row r="204">
          <cell r="D204">
            <v>39174</v>
          </cell>
          <cell r="F204">
            <v>9</v>
          </cell>
          <cell r="K204">
            <v>7.18</v>
          </cell>
          <cell r="L204">
            <v>12.44</v>
          </cell>
        </row>
        <row r="205">
          <cell r="D205">
            <v>39204</v>
          </cell>
          <cell r="F205">
            <v>9</v>
          </cell>
          <cell r="K205">
            <v>7.34</v>
          </cell>
          <cell r="L205">
            <v>12.65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792.6</v>
          </cell>
          <cell r="D133">
            <v>88.1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935.28</v>
          </cell>
          <cell r="D138">
            <v>102.32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7">
      <selection activeCell="A2" sqref="A2:A24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146</v>
      </c>
    </row>
    <row r="2" ht="37.5">
      <c r="A2" s="28"/>
    </row>
    <row r="3" ht="37.5">
      <c r="A3" s="28"/>
    </row>
    <row r="4" ht="33">
      <c r="A4" s="29"/>
    </row>
    <row r="5" ht="37.5">
      <c r="A5" s="28"/>
    </row>
    <row r="6" ht="33">
      <c r="A6" s="29"/>
    </row>
    <row r="7" ht="37.5">
      <c r="A7" s="30"/>
    </row>
    <row r="8" ht="37.5">
      <c r="A8" s="30"/>
    </row>
    <row r="9" ht="33">
      <c r="A9" s="154"/>
    </row>
    <row r="11" ht="40.5">
      <c r="A11" s="31"/>
    </row>
    <row r="12" ht="40.5">
      <c r="A12" s="31"/>
    </row>
    <row r="13" ht="40.5">
      <c r="A13" s="31" t="s">
        <v>48</v>
      </c>
    </row>
    <row r="14" ht="40.5">
      <c r="A14" s="31"/>
    </row>
    <row r="15" ht="40.5">
      <c r="A15" s="31" t="s">
        <v>49</v>
      </c>
    </row>
    <row r="16" ht="40.5">
      <c r="A16" s="31"/>
    </row>
    <row r="17" ht="40.5">
      <c r="A17" s="31" t="s">
        <v>50</v>
      </c>
    </row>
    <row r="18" ht="40.5">
      <c r="A18" s="31"/>
    </row>
    <row r="19" ht="40.5">
      <c r="A19" s="33">
        <v>39232</v>
      </c>
    </row>
    <row r="20" ht="40.5">
      <c r="A20" s="32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53"/>
  <sheetViews>
    <sheetView zoomScalePageLayoutView="0" workbookViewId="0" topLeftCell="A4">
      <selection activeCell="B1" sqref="B1:F54"/>
    </sheetView>
  </sheetViews>
  <sheetFormatPr defaultColWidth="9.140625" defaultRowHeight="12"/>
  <cols>
    <col min="2" max="2" width="48.00390625" style="0" customWidth="1"/>
    <col min="3" max="3" width="9.7109375" style="0" customWidth="1"/>
    <col min="4" max="4" width="11.140625" style="0" customWidth="1"/>
    <col min="5" max="5" width="14.421875" style="0" customWidth="1"/>
    <col min="6" max="6" width="13.421875" style="0" customWidth="1"/>
  </cols>
  <sheetData>
    <row r="1" ht="12" thickBot="1"/>
    <row r="2" spans="2:6" ht="11.25">
      <c r="B2" s="180" t="s">
        <v>114</v>
      </c>
      <c r="C2" s="180"/>
      <c r="D2" s="180"/>
      <c r="E2" s="180"/>
      <c r="F2" s="178"/>
    </row>
    <row r="3" spans="2:6" ht="11.25">
      <c r="B3" s="44"/>
      <c r="C3" s="24"/>
      <c r="D3" s="24"/>
      <c r="E3" s="177" t="s">
        <v>168</v>
      </c>
      <c r="F3" s="175" t="s">
        <v>110</v>
      </c>
    </row>
    <row r="4" spans="2:6" ht="11.25">
      <c r="B4" s="45"/>
      <c r="C4" s="12">
        <v>39200</v>
      </c>
      <c r="D4" s="12">
        <v>39232</v>
      </c>
      <c r="E4" s="152" t="s">
        <v>45</v>
      </c>
      <c r="F4" s="152" t="s">
        <v>45</v>
      </c>
    </row>
    <row r="5" spans="2:6" ht="11.25">
      <c r="B5" s="26"/>
      <c r="C5" s="38"/>
      <c r="D5" s="38"/>
      <c r="E5" s="39"/>
      <c r="F5" s="39"/>
    </row>
    <row r="6" spans="2:9" ht="11.25">
      <c r="B6" s="46" t="s">
        <v>1</v>
      </c>
      <c r="C6" s="47">
        <v>8415.193842653898</v>
      </c>
      <c r="D6" s="47">
        <v>8023.0365396430025</v>
      </c>
      <c r="E6" s="47">
        <v>-392.1573030108957</v>
      </c>
      <c r="F6" s="47">
        <v>-4.660110157215596</v>
      </c>
      <c r="I6" s="84"/>
    </row>
    <row r="7" spans="2:6" ht="11.25">
      <c r="B7" s="46" t="s">
        <v>83</v>
      </c>
      <c r="C7" s="47">
        <v>26625.284193710002</v>
      </c>
      <c r="D7" s="47">
        <v>27610.325881250003</v>
      </c>
      <c r="E7" s="162">
        <v>985.0416875400006</v>
      </c>
      <c r="F7" s="47">
        <v>3.6996475995276263</v>
      </c>
    </row>
    <row r="8" spans="2:6" ht="11.25">
      <c r="B8" s="48" t="s">
        <v>99</v>
      </c>
      <c r="C8" s="13">
        <v>-3415.1478056799997</v>
      </c>
      <c r="D8" s="13">
        <v>-2735.4917495599993</v>
      </c>
      <c r="E8" s="163">
        <v>679.6560561200004</v>
      </c>
      <c r="F8" s="13">
        <v>-19.90121935541446</v>
      </c>
    </row>
    <row r="9" spans="2:6" ht="11.25">
      <c r="B9" s="48" t="s">
        <v>51</v>
      </c>
      <c r="C9" s="13">
        <v>30040.431999390003</v>
      </c>
      <c r="D9" s="13">
        <v>30345.81763081</v>
      </c>
      <c r="E9" s="163">
        <v>305.3856314199984</v>
      </c>
      <c r="F9" s="13">
        <v>1.016582023275163</v>
      </c>
    </row>
    <row r="10" spans="2:6" ht="11.25">
      <c r="B10" s="73" t="s">
        <v>101</v>
      </c>
      <c r="C10" s="13">
        <v>942.425</v>
      </c>
      <c r="D10" s="13">
        <v>1196.251</v>
      </c>
      <c r="E10" s="163">
        <v>253.82600000000002</v>
      </c>
      <c r="F10" s="13">
        <v>26.933283815688252</v>
      </c>
    </row>
    <row r="11" spans="2:6" ht="11.25">
      <c r="B11" s="73" t="s">
        <v>102</v>
      </c>
      <c r="C11" s="13">
        <v>29.157</v>
      </c>
      <c r="D11" s="13">
        <v>41.643</v>
      </c>
      <c r="E11" s="163">
        <v>12.486</v>
      </c>
      <c r="F11" s="13">
        <v>42.823335734129024</v>
      </c>
    </row>
    <row r="12" spans="2:6" ht="11.25">
      <c r="B12" s="73" t="s">
        <v>103</v>
      </c>
      <c r="C12" s="13">
        <v>294.223</v>
      </c>
      <c r="D12" s="13">
        <v>322.858</v>
      </c>
      <c r="E12" s="163">
        <v>28.635</v>
      </c>
      <c r="F12" s="13">
        <v>9.732413849359157</v>
      </c>
    </row>
    <row r="13" spans="2:6" ht="11.25">
      <c r="B13" s="73" t="s">
        <v>104</v>
      </c>
      <c r="C13" s="13">
        <v>9953.50255312</v>
      </c>
      <c r="D13" s="13">
        <v>9666.327373450002</v>
      </c>
      <c r="E13" s="163">
        <v>-287.1751796699991</v>
      </c>
      <c r="F13" s="13">
        <v>-2.8851670870369337</v>
      </c>
    </row>
    <row r="14" spans="2:9" ht="11.25">
      <c r="B14" s="73" t="s">
        <v>105</v>
      </c>
      <c r="C14" s="13">
        <v>18821.12444627</v>
      </c>
      <c r="D14" s="13">
        <v>19118.738257359997</v>
      </c>
      <c r="E14" s="163">
        <v>297.6138110899956</v>
      </c>
      <c r="F14" s="13">
        <v>1.5812754011569012</v>
      </c>
      <c r="G14" s="81"/>
      <c r="H14" s="81"/>
      <c r="I14" s="84"/>
    </row>
    <row r="15" spans="2:6" ht="11.25">
      <c r="B15" s="46" t="s">
        <v>46</v>
      </c>
      <c r="C15" s="13">
        <v>-11970.982235873758</v>
      </c>
      <c r="D15" s="13">
        <v>-12133.847715085196</v>
      </c>
      <c r="E15" s="163">
        <v>-162.86547921143756</v>
      </c>
      <c r="F15" s="13">
        <v>1.3605022211408373</v>
      </c>
    </row>
    <row r="16" spans="2:6" ht="12" thickBot="1">
      <c r="B16" s="49" t="s">
        <v>54</v>
      </c>
      <c r="C16" s="50">
        <v>23069.495800490142</v>
      </c>
      <c r="D16" s="50">
        <v>23499.514705807807</v>
      </c>
      <c r="E16" s="164">
        <v>430.0189053176655</v>
      </c>
      <c r="F16" s="50">
        <v>1.864015187139587</v>
      </c>
    </row>
    <row r="17" spans="2:8" ht="12" thickBot="1">
      <c r="B17" s="51"/>
      <c r="C17" s="40"/>
      <c r="D17" s="40"/>
      <c r="E17" s="40"/>
      <c r="F17" s="40"/>
      <c r="H17" s="81"/>
    </row>
    <row r="18" spans="2:6" ht="11.25">
      <c r="B18" s="178" t="s">
        <v>115</v>
      </c>
      <c r="C18" s="179"/>
      <c r="D18" s="179"/>
      <c r="E18" s="179"/>
      <c r="F18" s="179"/>
    </row>
    <row r="19" spans="2:6" ht="11.25">
      <c r="B19" s="44"/>
      <c r="C19" s="24"/>
      <c r="D19" s="24"/>
      <c r="E19" s="177" t="s">
        <v>168</v>
      </c>
      <c r="F19" s="175" t="s">
        <v>111</v>
      </c>
    </row>
    <row r="20" spans="2:6" ht="11.25">
      <c r="B20" s="45"/>
      <c r="C20" s="12">
        <v>39200</v>
      </c>
      <c r="D20" s="12">
        <v>39232</v>
      </c>
      <c r="E20" s="152" t="s">
        <v>45</v>
      </c>
      <c r="F20" s="152" t="s">
        <v>112</v>
      </c>
    </row>
    <row r="21" spans="2:6" ht="11.25">
      <c r="B21" s="52"/>
      <c r="C21" s="41"/>
      <c r="D21" s="41"/>
      <c r="E21" s="41"/>
      <c r="F21" s="41"/>
    </row>
    <row r="22" spans="2:6" ht="11.25">
      <c r="B22" s="46" t="s">
        <v>54</v>
      </c>
      <c r="C22" s="47">
        <v>23069.548296980003</v>
      </c>
      <c r="D22" s="47">
        <v>23499.54470648</v>
      </c>
      <c r="E22" s="47">
        <v>429.99640949999593</v>
      </c>
      <c r="F22" s="47">
        <v>1.8639134323938458</v>
      </c>
    </row>
    <row r="23" spans="2:7" ht="11.25">
      <c r="B23" s="48" t="s">
        <v>55</v>
      </c>
      <c r="C23" s="13">
        <v>744.53298303</v>
      </c>
      <c r="D23" s="13">
        <v>777.36882447</v>
      </c>
      <c r="E23" s="13">
        <v>32.83584144000008</v>
      </c>
      <c r="F23" s="13">
        <v>4.4102601480956825</v>
      </c>
      <c r="G23" s="81"/>
    </row>
    <row r="24" spans="2:6" ht="11.25">
      <c r="B24" s="48" t="s">
        <v>56</v>
      </c>
      <c r="C24" s="13">
        <v>14126.103827320003</v>
      </c>
      <c r="D24" s="13">
        <v>14154.261028879999</v>
      </c>
      <c r="E24" s="13">
        <v>28.157201559995883</v>
      </c>
      <c r="F24" s="13">
        <v>0.19932744303874944</v>
      </c>
    </row>
    <row r="25" spans="2:6" ht="11.25">
      <c r="B25" s="48" t="s">
        <v>57</v>
      </c>
      <c r="C25" s="13">
        <v>8192.96372845</v>
      </c>
      <c r="D25" s="13">
        <v>8562.04685313</v>
      </c>
      <c r="E25" s="13">
        <v>369.08312467999895</v>
      </c>
      <c r="F25" s="13">
        <v>4.504879270957356</v>
      </c>
    </row>
    <row r="26" spans="2:6" ht="12" thickBot="1">
      <c r="B26" s="151" t="s">
        <v>156</v>
      </c>
      <c r="C26" s="13">
        <v>5.94775818</v>
      </c>
      <c r="D26" s="13">
        <v>5.868</v>
      </c>
      <c r="E26" s="13">
        <v>-0.07975817999999979</v>
      </c>
      <c r="F26" s="13">
        <v>-1.340978862728407</v>
      </c>
    </row>
    <row r="27" spans="2:6" ht="11.25">
      <c r="B27" s="57"/>
      <c r="C27" s="153"/>
      <c r="D27" s="153"/>
      <c r="E27" s="153"/>
      <c r="F27" s="153"/>
    </row>
    <row r="28" spans="2:6" ht="11.25">
      <c r="B28" s="57"/>
      <c r="C28" s="27"/>
      <c r="D28" s="27"/>
      <c r="E28" s="27"/>
      <c r="F28" s="27"/>
    </row>
    <row r="29" spans="2:6" ht="12" thickBot="1">
      <c r="B29" s="53"/>
      <c r="C29" s="40"/>
      <c r="D29" s="40"/>
      <c r="E29" s="40"/>
      <c r="F29" s="40"/>
    </row>
    <row r="30" spans="2:6" ht="11.25">
      <c r="B30" s="178" t="s">
        <v>116</v>
      </c>
      <c r="C30" s="179"/>
      <c r="D30" s="179"/>
      <c r="E30" s="179"/>
      <c r="F30" s="179"/>
    </row>
    <row r="31" spans="2:6" ht="11.25">
      <c r="B31" s="44"/>
      <c r="C31" s="24"/>
      <c r="D31" s="24"/>
      <c r="E31" s="174" t="s">
        <v>167</v>
      </c>
      <c r="F31" s="174" t="s">
        <v>110</v>
      </c>
    </row>
    <row r="32" spans="2:6" ht="11.25">
      <c r="B32" s="45"/>
      <c r="C32" s="12">
        <v>39200</v>
      </c>
      <c r="D32" s="12">
        <v>39232</v>
      </c>
      <c r="E32" s="176" t="s">
        <v>45</v>
      </c>
      <c r="F32" s="176" t="s">
        <v>45</v>
      </c>
    </row>
    <row r="33" spans="2:6" ht="11.25">
      <c r="B33" s="43"/>
      <c r="C33" s="42"/>
      <c r="D33" s="42"/>
      <c r="E33" s="43"/>
      <c r="F33" s="43"/>
    </row>
    <row r="34" spans="2:6" ht="11.25">
      <c r="B34" s="54" t="s">
        <v>117</v>
      </c>
      <c r="C34" s="165">
        <v>28790.263074780003</v>
      </c>
      <c r="D34" s="165">
        <v>28801.83609281</v>
      </c>
      <c r="E34" s="165">
        <v>11.573018029998345</v>
      </c>
      <c r="F34" s="165">
        <v>0.040197680722604316</v>
      </c>
    </row>
    <row r="35" spans="2:6" ht="11.25">
      <c r="B35" s="141" t="s">
        <v>52</v>
      </c>
      <c r="C35" s="166">
        <v>0</v>
      </c>
      <c r="D35" s="166">
        <v>0</v>
      </c>
      <c r="E35" s="166">
        <v>0</v>
      </c>
      <c r="F35" s="166">
        <v>0</v>
      </c>
    </row>
    <row r="36" spans="2:6" ht="11.25">
      <c r="B36" s="141" t="s">
        <v>58</v>
      </c>
      <c r="C36" s="166">
        <v>9942.19855312</v>
      </c>
      <c r="D36" s="166">
        <v>9654.88037345</v>
      </c>
      <c r="E36" s="166">
        <v>-287.318179670001</v>
      </c>
      <c r="F36" s="166">
        <v>-2.8898857544927674</v>
      </c>
    </row>
    <row r="37" spans="2:6" ht="11.25">
      <c r="B37" s="55" t="s">
        <v>118</v>
      </c>
      <c r="C37" s="167">
        <v>7728.15421343</v>
      </c>
      <c r="D37" s="167">
        <v>7427.752341290001</v>
      </c>
      <c r="E37" s="166">
        <v>-300.4018721399989</v>
      </c>
      <c r="F37" s="166">
        <v>-3.887110218607698</v>
      </c>
    </row>
    <row r="38" spans="2:6" ht="11.25">
      <c r="B38" s="56" t="s">
        <v>119</v>
      </c>
      <c r="C38" s="142">
        <v>1886.089</v>
      </c>
      <c r="D38" s="142">
        <v>1882.696</v>
      </c>
      <c r="E38" s="166">
        <v>-3.393000000000029</v>
      </c>
      <c r="F38" s="166">
        <v>-0.17989607065202273</v>
      </c>
    </row>
    <row r="39" spans="2:6" ht="11.25">
      <c r="B39" s="56" t="s">
        <v>120</v>
      </c>
      <c r="C39" s="142">
        <v>2443.5993822</v>
      </c>
      <c r="D39" s="142">
        <v>2225.98209601</v>
      </c>
      <c r="E39" s="166">
        <v>-217.61728618999996</v>
      </c>
      <c r="F39" s="166">
        <v>-8.905604076314532</v>
      </c>
    </row>
    <row r="40" spans="2:6" ht="11.25">
      <c r="B40" s="56" t="s">
        <v>121</v>
      </c>
      <c r="C40" s="142">
        <v>3398.4658312300003</v>
      </c>
      <c r="D40" s="142">
        <v>3319.07424528</v>
      </c>
      <c r="E40" s="166">
        <v>-79.39158595000026</v>
      </c>
      <c r="F40" s="166">
        <v>-2.3361007552418505</v>
      </c>
    </row>
    <row r="41" spans="2:6" ht="11.25">
      <c r="B41" s="55" t="s">
        <v>122</v>
      </c>
      <c r="C41" s="142">
        <v>1417.82472726</v>
      </c>
      <c r="D41" s="142">
        <v>1425.86374236</v>
      </c>
      <c r="E41" s="166">
        <v>8.039015100000142</v>
      </c>
      <c r="F41" s="166">
        <v>0.5669963956359997</v>
      </c>
    </row>
    <row r="42" spans="2:6" ht="11.25">
      <c r="B42" s="55" t="s">
        <v>123</v>
      </c>
      <c r="C42" s="142">
        <v>41.18161243</v>
      </c>
      <c r="D42" s="142">
        <v>41.388289799999995</v>
      </c>
      <c r="E42" s="166">
        <v>0.2066773699999942</v>
      </c>
      <c r="F42" s="166">
        <v>0.5018680857902343</v>
      </c>
    </row>
    <row r="43" spans="2:7" ht="11.25">
      <c r="B43" s="55" t="s">
        <v>124</v>
      </c>
      <c r="C43" s="142">
        <v>755.038</v>
      </c>
      <c r="D43" s="142">
        <v>759.876</v>
      </c>
      <c r="E43" s="166">
        <v>4.837999999999965</v>
      </c>
      <c r="F43" s="166">
        <v>0.6407624516911686</v>
      </c>
      <c r="G43" s="77"/>
    </row>
    <row r="44" spans="2:8" ht="11.25">
      <c r="B44" s="141" t="s">
        <v>90</v>
      </c>
      <c r="C44" s="143">
        <v>18805.080521660002</v>
      </c>
      <c r="D44" s="143">
        <v>19102.74171936</v>
      </c>
      <c r="E44" s="166">
        <v>297.6611976999993</v>
      </c>
      <c r="F44" s="166">
        <v>1.5828764857302695</v>
      </c>
      <c r="G44" s="77"/>
      <c r="H44" s="77"/>
    </row>
    <row r="45" spans="2:6" ht="11.25">
      <c r="B45" s="55" t="s">
        <v>125</v>
      </c>
      <c r="C45" s="143">
        <v>15243.497343990002</v>
      </c>
      <c r="D45" s="143">
        <v>15517.13588779</v>
      </c>
      <c r="E45" s="166">
        <v>273.63854379999793</v>
      </c>
      <c r="F45" s="166">
        <v>1.7951165511757339</v>
      </c>
    </row>
    <row r="46" spans="2:6" ht="11.25">
      <c r="B46" s="56" t="s">
        <v>119</v>
      </c>
      <c r="C46" s="142">
        <v>12312.505425950001</v>
      </c>
      <c r="D46" s="142">
        <v>12521.47012954</v>
      </c>
      <c r="E46" s="166">
        <v>208.96470358999795</v>
      </c>
      <c r="F46" s="166">
        <v>1.697174509662194</v>
      </c>
    </row>
    <row r="47" spans="2:6" ht="11.25">
      <c r="B47" s="56" t="s">
        <v>126</v>
      </c>
      <c r="C47" s="142">
        <v>1838.9778855000004</v>
      </c>
      <c r="D47" s="142">
        <v>1805.8043401600003</v>
      </c>
      <c r="E47" s="166">
        <v>-33.173545340000146</v>
      </c>
      <c r="F47" s="166">
        <v>-1.8039121406280847</v>
      </c>
    </row>
    <row r="48" spans="2:7" ht="11.25">
      <c r="B48" s="56" t="s">
        <v>121</v>
      </c>
      <c r="C48" s="142">
        <v>1092.01403254</v>
      </c>
      <c r="D48" s="142">
        <v>1189.8614180900001</v>
      </c>
      <c r="E48" s="166">
        <v>97.84738555000013</v>
      </c>
      <c r="F48" s="166">
        <v>8.960268149889</v>
      </c>
      <c r="G48" s="77"/>
    </row>
    <row r="49" spans="2:6" ht="11.25">
      <c r="B49" s="55" t="s">
        <v>122</v>
      </c>
      <c r="C49" s="142">
        <v>3135.81693287</v>
      </c>
      <c r="D49" s="142">
        <v>3153.32126414</v>
      </c>
      <c r="E49" s="166">
        <v>17.504331269999966</v>
      </c>
      <c r="F49" s="166">
        <v>0.5582064146193458</v>
      </c>
    </row>
    <row r="50" spans="2:6" ht="11.25">
      <c r="B50" s="55" t="s">
        <v>123</v>
      </c>
      <c r="C50" s="142">
        <v>66.5272448</v>
      </c>
      <c r="D50" s="142">
        <v>70.86056742999999</v>
      </c>
      <c r="E50" s="166">
        <v>4.333322629999984</v>
      </c>
      <c r="F50" s="166">
        <v>6.5136060316749855</v>
      </c>
    </row>
    <row r="51" spans="2:6" ht="11.25">
      <c r="B51" s="55" t="s">
        <v>124</v>
      </c>
      <c r="C51" s="142">
        <v>359.239</v>
      </c>
      <c r="D51" s="142">
        <v>361.424</v>
      </c>
      <c r="E51" s="166">
        <v>2.185</v>
      </c>
      <c r="F51" s="166">
        <v>0.6082301754542248</v>
      </c>
    </row>
    <row r="52" spans="2:6" ht="12" thickBot="1">
      <c r="B52" s="150" t="s">
        <v>127</v>
      </c>
      <c r="C52" s="168">
        <v>42.984</v>
      </c>
      <c r="D52" s="168">
        <v>44.214</v>
      </c>
      <c r="E52" s="169">
        <v>1.23</v>
      </c>
      <c r="F52" s="169">
        <v>2.8615298715801156</v>
      </c>
    </row>
    <row r="53" ht="11.25">
      <c r="B53" s="87" t="s">
        <v>144</v>
      </c>
    </row>
  </sheetData>
  <sheetProtection/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8"/>
  <sheetViews>
    <sheetView showGridLines="0" tabSelected="1" zoomScalePageLayoutView="0" workbookViewId="0" topLeftCell="A1">
      <selection activeCell="A1" sqref="A1:M48"/>
    </sheetView>
  </sheetViews>
  <sheetFormatPr defaultColWidth="9.140625" defaultRowHeight="12"/>
  <cols>
    <col min="1" max="16384" width="9.28125" style="1" customWidth="1"/>
  </cols>
  <sheetData>
    <row r="2" spans="2:13" ht="15.75">
      <c r="B2" s="181" t="s">
        <v>166</v>
      </c>
      <c r="C2" s="182"/>
      <c r="D2" s="182"/>
      <c r="E2" s="182"/>
      <c r="F2" s="182"/>
      <c r="G2" s="182"/>
      <c r="H2" s="182"/>
      <c r="I2" s="182"/>
      <c r="J2" s="182"/>
      <c r="K2" s="182"/>
      <c r="L2" s="183"/>
      <c r="M2" s="183"/>
    </row>
    <row r="3" spans="1:14" ht="1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4" ht="1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ht="1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4" ht="1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1:14" ht="1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ht="1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4" ht="1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ht="1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1:14" ht="1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1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</row>
    <row r="16" spans="1:14" ht="1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4" ht="1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ht="1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</row>
    <row r="19" spans="1:14" ht="1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</row>
    <row r="20" spans="1:14" ht="1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ht="15">
      <c r="D21" s="172"/>
    </row>
    <row r="25" spans="1:12" ht="15.75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3"/>
      <c r="L25" s="183"/>
    </row>
    <row r="27" spans="2:13" ht="15.75">
      <c r="B27" s="181" t="s">
        <v>161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3"/>
      <c r="M27" s="183"/>
    </row>
    <row r="28" spans="2:12" ht="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7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Q29" s="15"/>
    </row>
    <row r="30" spans="2:12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155" t="s">
        <v>106</v>
      </c>
      <c r="C46" s="155"/>
      <c r="D46" s="155"/>
      <c r="E46" s="155"/>
      <c r="F46" s="25"/>
      <c r="G46" s="25"/>
      <c r="H46" s="25"/>
      <c r="I46" s="25"/>
      <c r="J46" s="25"/>
      <c r="K46" s="25"/>
      <c r="L46" s="25"/>
    </row>
    <row r="47" spans="2:5" ht="15">
      <c r="B47" s="155" t="s">
        <v>155</v>
      </c>
      <c r="C47" s="155"/>
      <c r="D47" s="155"/>
      <c r="E47" s="155"/>
    </row>
    <row r="48" spans="2:5" ht="15">
      <c r="B48" s="25"/>
      <c r="C48" s="25"/>
      <c r="D48" s="25"/>
      <c r="E48" s="25"/>
    </row>
  </sheetData>
  <sheetProtection/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4"/>
  <sheetViews>
    <sheetView showGridLines="0" zoomScale="75" zoomScaleNormal="75" zoomScaleSheetLayoutView="75" zoomScalePageLayoutView="0" workbookViewId="0" topLeftCell="A22">
      <selection activeCell="F80" sqref="F80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3" t="s">
        <v>47</v>
      </c>
    </row>
    <row r="2" spans="1:5" ht="12.75" thickBot="1">
      <c r="A2" s="3" t="s">
        <v>2</v>
      </c>
      <c r="B2" s="74">
        <v>39202</v>
      </c>
      <c r="C2" s="74">
        <v>39232</v>
      </c>
      <c r="D2" s="74">
        <v>39263</v>
      </c>
      <c r="E2" s="4"/>
    </row>
    <row r="3" spans="1:5" ht="12">
      <c r="A3" s="5"/>
      <c r="B3" s="36"/>
      <c r="C3" s="36"/>
      <c r="D3" s="36"/>
      <c r="E3" s="4"/>
    </row>
    <row r="4" spans="1:5" ht="12">
      <c r="A4" s="5" t="s">
        <v>3</v>
      </c>
      <c r="B4" s="37">
        <v>9</v>
      </c>
      <c r="C4" s="37">
        <v>9</v>
      </c>
      <c r="D4" s="37">
        <v>9.05</v>
      </c>
      <c r="E4" s="4"/>
    </row>
    <row r="5" spans="1:5" ht="12">
      <c r="A5" s="5"/>
      <c r="B5" s="37"/>
      <c r="C5" s="37"/>
      <c r="D5" s="37"/>
      <c r="E5" s="4"/>
    </row>
    <row r="6" spans="1:5" ht="12">
      <c r="A6" s="5" t="s">
        <v>41</v>
      </c>
      <c r="B6" s="37">
        <v>13.75</v>
      </c>
      <c r="C6" s="37">
        <v>13.75</v>
      </c>
      <c r="D6" s="80" t="s">
        <v>170</v>
      </c>
      <c r="E6" s="4"/>
    </row>
    <row r="7" spans="1:5" ht="12">
      <c r="A7" s="5"/>
      <c r="B7" s="37"/>
      <c r="C7" s="37"/>
      <c r="D7" s="80"/>
      <c r="E7" s="4"/>
    </row>
    <row r="8" spans="1:5" ht="12">
      <c r="A8" s="5" t="s">
        <v>4</v>
      </c>
      <c r="B8" s="37">
        <v>13.75</v>
      </c>
      <c r="C8" s="37">
        <v>13.75</v>
      </c>
      <c r="D8" s="80" t="s">
        <v>170</v>
      </c>
      <c r="E8" s="4"/>
    </row>
    <row r="9" spans="1:5" ht="12">
      <c r="A9" s="5"/>
      <c r="B9" s="37"/>
      <c r="C9" s="37"/>
      <c r="D9" s="80"/>
      <c r="E9" s="4"/>
    </row>
    <row r="10" spans="1:5" ht="12">
      <c r="A10" s="5" t="s">
        <v>147</v>
      </c>
      <c r="B10" s="37">
        <v>12.44</v>
      </c>
      <c r="C10" s="37">
        <v>12.65</v>
      </c>
      <c r="D10" s="80" t="s">
        <v>170</v>
      </c>
      <c r="E10" s="4"/>
    </row>
    <row r="11" spans="1:5" ht="12">
      <c r="A11" s="5"/>
      <c r="B11" s="37"/>
      <c r="C11" s="37"/>
      <c r="D11" s="80"/>
      <c r="E11" s="4"/>
    </row>
    <row r="12" spans="1:5" ht="12">
      <c r="A12" s="5" t="s">
        <v>5</v>
      </c>
      <c r="B12" s="37">
        <v>7.18</v>
      </c>
      <c r="C12" s="37">
        <v>7.34</v>
      </c>
      <c r="D12" s="80" t="s">
        <v>170</v>
      </c>
      <c r="E12" s="4"/>
    </row>
    <row r="13" spans="1:5" ht="12">
      <c r="A13" s="5"/>
      <c r="B13" s="37"/>
      <c r="C13" s="37"/>
      <c r="D13" s="37"/>
      <c r="E13" s="4"/>
    </row>
    <row r="14" spans="1:5" ht="12">
      <c r="A14" s="6" t="s">
        <v>6</v>
      </c>
      <c r="B14" s="37"/>
      <c r="C14" s="37"/>
      <c r="D14" s="37"/>
      <c r="E14" s="4"/>
    </row>
    <row r="15" spans="1:4" ht="12">
      <c r="A15" s="5"/>
      <c r="B15" s="37"/>
      <c r="C15" s="37"/>
      <c r="D15" s="37"/>
    </row>
    <row r="16" spans="1:4" ht="12">
      <c r="A16" s="5" t="s">
        <v>7</v>
      </c>
      <c r="B16" s="37">
        <v>8</v>
      </c>
      <c r="C16" s="37">
        <v>8.11</v>
      </c>
      <c r="D16" s="37">
        <v>8.11</v>
      </c>
    </row>
    <row r="17" spans="1:4" ht="12">
      <c r="A17" s="5" t="s">
        <v>40</v>
      </c>
      <c r="B17" s="37">
        <v>8.42</v>
      </c>
      <c r="C17" s="37">
        <v>8.53</v>
      </c>
      <c r="D17" s="37">
        <v>8.53</v>
      </c>
    </row>
    <row r="18" spans="1:4" ht="12">
      <c r="A18" s="5" t="s">
        <v>8</v>
      </c>
      <c r="B18" s="80">
        <v>50</v>
      </c>
      <c r="C18" s="80">
        <v>100</v>
      </c>
      <c r="D18" s="80">
        <v>100</v>
      </c>
    </row>
    <row r="19" spans="1:4" ht="12">
      <c r="A19" s="5" t="s">
        <v>9</v>
      </c>
      <c r="B19" s="80">
        <v>50</v>
      </c>
      <c r="C19" s="80">
        <v>100</v>
      </c>
      <c r="D19" s="80">
        <v>100</v>
      </c>
    </row>
    <row r="20" spans="1:4" ht="12">
      <c r="A20" s="5"/>
      <c r="B20" s="37"/>
      <c r="C20" s="37"/>
      <c r="D20" s="37"/>
    </row>
    <row r="21" spans="1:4" ht="12">
      <c r="A21" s="6" t="s">
        <v>10</v>
      </c>
      <c r="B21" s="37"/>
      <c r="C21" s="37"/>
      <c r="D21" s="37"/>
    </row>
    <row r="22" spans="1:4" ht="12">
      <c r="A22" s="5"/>
      <c r="B22" s="37"/>
      <c r="C22" s="37"/>
      <c r="D22" s="37"/>
    </row>
    <row r="23" spans="1:4" ht="12">
      <c r="A23" s="5" t="s">
        <v>7</v>
      </c>
      <c r="B23" s="80">
        <v>8.09</v>
      </c>
      <c r="C23" s="80">
        <v>8.05</v>
      </c>
      <c r="D23" s="80">
        <v>8.05</v>
      </c>
    </row>
    <row r="24" spans="1:4" ht="12">
      <c r="A24" s="5" t="s">
        <v>39</v>
      </c>
      <c r="B24" s="37">
        <v>8.6</v>
      </c>
      <c r="C24" s="37">
        <v>8.57</v>
      </c>
      <c r="D24" s="37">
        <v>8.57</v>
      </c>
    </row>
    <row r="25" spans="1:4" ht="12">
      <c r="A25" s="5" t="s">
        <v>8</v>
      </c>
      <c r="B25" s="80">
        <v>300</v>
      </c>
      <c r="C25" s="80">
        <v>149.99</v>
      </c>
      <c r="D25" s="80">
        <v>149.99</v>
      </c>
    </row>
    <row r="26" spans="1:4" ht="12">
      <c r="A26" s="5" t="s">
        <v>9</v>
      </c>
      <c r="B26" s="80">
        <v>350</v>
      </c>
      <c r="C26" s="80">
        <v>150</v>
      </c>
      <c r="D26" s="80">
        <v>150</v>
      </c>
    </row>
    <row r="27" spans="1:4" ht="12">
      <c r="A27" s="5"/>
      <c r="B27" s="37"/>
      <c r="C27" s="37"/>
      <c r="D27" s="37"/>
    </row>
    <row r="28" spans="1:4" ht="12">
      <c r="A28" s="6" t="s">
        <v>42</v>
      </c>
      <c r="B28" s="37"/>
      <c r="C28" s="37"/>
      <c r="D28" s="37"/>
    </row>
    <row r="29" spans="1:4" ht="12">
      <c r="A29" s="5"/>
      <c r="B29" s="76"/>
      <c r="C29" s="76"/>
      <c r="D29" s="76"/>
    </row>
    <row r="30" spans="1:4" ht="12">
      <c r="A30" s="5" t="s">
        <v>7</v>
      </c>
      <c r="B30" s="80">
        <v>8.18</v>
      </c>
      <c r="C30" s="80">
        <v>8</v>
      </c>
      <c r="D30" s="80">
        <v>8</v>
      </c>
    </row>
    <row r="31" spans="1:4" ht="12">
      <c r="A31" s="5" t="s">
        <v>39</v>
      </c>
      <c r="B31" s="80">
        <v>8.91</v>
      </c>
      <c r="C31" s="80">
        <v>8.75</v>
      </c>
      <c r="D31" s="80">
        <v>8.75</v>
      </c>
    </row>
    <row r="32" spans="1:4" ht="12">
      <c r="A32" s="5" t="s">
        <v>8</v>
      </c>
      <c r="B32" s="80">
        <v>100</v>
      </c>
      <c r="C32" s="80">
        <v>250</v>
      </c>
      <c r="D32" s="80">
        <v>250</v>
      </c>
    </row>
    <row r="33" spans="1:4" ht="12">
      <c r="A33" s="5" t="s">
        <v>9</v>
      </c>
      <c r="B33" s="37">
        <v>200</v>
      </c>
      <c r="C33" s="37">
        <v>400</v>
      </c>
      <c r="D33" s="37">
        <v>400</v>
      </c>
    </row>
    <row r="34" spans="1:4" ht="12">
      <c r="A34" s="5"/>
      <c r="B34" s="37"/>
      <c r="C34" s="37"/>
      <c r="D34" s="37"/>
    </row>
    <row r="35" spans="1:4" ht="12">
      <c r="A35" s="5"/>
      <c r="B35" s="37"/>
      <c r="C35" s="37"/>
      <c r="D35" s="37"/>
    </row>
    <row r="36" spans="1:4" ht="12">
      <c r="A36" s="5"/>
      <c r="B36" s="37"/>
      <c r="C36" s="37"/>
      <c r="D36" s="37"/>
    </row>
    <row r="37" spans="1:4" ht="12">
      <c r="A37" s="6" t="s">
        <v>43</v>
      </c>
      <c r="B37" s="37">
        <v>3850</v>
      </c>
      <c r="C37" s="37">
        <v>3699.99</v>
      </c>
      <c r="D37" s="37">
        <v>3699.99</v>
      </c>
    </row>
    <row r="38" spans="1:4" ht="12">
      <c r="A38" s="5"/>
      <c r="B38" s="37"/>
      <c r="C38" s="37"/>
      <c r="D38" s="37"/>
    </row>
    <row r="39" spans="1:4" ht="12">
      <c r="A39" s="5"/>
      <c r="B39" s="34"/>
      <c r="C39" s="34"/>
      <c r="D39" s="34"/>
    </row>
    <row r="40" spans="1:4" ht="12.75" thickBot="1">
      <c r="A40" s="5"/>
      <c r="B40" s="34"/>
      <c r="C40" s="34"/>
      <c r="D40" s="34"/>
    </row>
    <row r="41" spans="1:4" ht="12.75" thickBot="1">
      <c r="A41" s="3" t="s">
        <v>11</v>
      </c>
      <c r="B41" s="74">
        <v>39201</v>
      </c>
      <c r="C41" s="74">
        <v>39232</v>
      </c>
      <c r="D41" s="74">
        <v>39236</v>
      </c>
    </row>
    <row r="42" spans="1:4" ht="12">
      <c r="A42" s="5"/>
      <c r="B42" s="34"/>
      <c r="C42" s="34"/>
      <c r="D42" s="34"/>
    </row>
    <row r="43" spans="1:4" ht="12">
      <c r="A43" s="6" t="s">
        <v>12</v>
      </c>
      <c r="B43" s="34"/>
      <c r="C43" s="34"/>
      <c r="D43" s="34"/>
    </row>
    <row r="44" spans="1:4" ht="12">
      <c r="A44" s="7" t="s">
        <v>109</v>
      </c>
      <c r="B44" s="34"/>
      <c r="C44" s="34"/>
      <c r="D44" s="34"/>
    </row>
    <row r="45" spans="1:4" ht="12">
      <c r="A45" s="5" t="s">
        <v>13</v>
      </c>
      <c r="B45" s="75">
        <v>8.82</v>
      </c>
      <c r="C45" s="75">
        <v>8.82</v>
      </c>
      <c r="D45" s="75">
        <v>8.82</v>
      </c>
    </row>
    <row r="46" spans="1:4" ht="12">
      <c r="A46" s="5" t="s">
        <v>8</v>
      </c>
      <c r="B46" s="75">
        <v>8</v>
      </c>
      <c r="C46" s="75">
        <v>8</v>
      </c>
      <c r="D46" s="75">
        <v>8</v>
      </c>
    </row>
    <row r="47" spans="1:4" ht="12">
      <c r="A47" s="5" t="s">
        <v>9</v>
      </c>
      <c r="B47" s="75">
        <v>0</v>
      </c>
      <c r="C47" s="75">
        <v>0</v>
      </c>
      <c r="D47" s="75">
        <v>0</v>
      </c>
    </row>
    <row r="48" spans="1:4" ht="12">
      <c r="A48" s="5"/>
      <c r="B48" s="37"/>
      <c r="C48" s="37"/>
      <c r="D48" s="37"/>
    </row>
    <row r="49" spans="1:4" ht="12">
      <c r="A49" s="5" t="s">
        <v>14</v>
      </c>
      <c r="B49" s="80">
        <v>6977.85</v>
      </c>
      <c r="C49" s="80">
        <v>6977.85</v>
      </c>
      <c r="D49" s="80">
        <v>6977.85</v>
      </c>
    </row>
    <row r="50" spans="1:4" ht="12.75" thickBot="1">
      <c r="A50" s="5"/>
      <c r="B50" s="34"/>
      <c r="C50" s="34"/>
      <c r="D50" s="34"/>
    </row>
    <row r="51" spans="1:4" ht="12.75" thickBot="1">
      <c r="A51" s="3" t="s">
        <v>15</v>
      </c>
      <c r="B51" s="74">
        <v>39201</v>
      </c>
      <c r="C51" s="74">
        <v>39232</v>
      </c>
      <c r="D51" s="74">
        <v>39263</v>
      </c>
    </row>
    <row r="52" spans="1:4" ht="12">
      <c r="A52" s="5"/>
      <c r="B52" s="34"/>
      <c r="C52" s="34"/>
      <c r="D52" s="34"/>
    </row>
    <row r="53" spans="1:4" ht="12">
      <c r="A53" s="6" t="s">
        <v>16</v>
      </c>
      <c r="B53" s="34"/>
      <c r="C53" s="34"/>
      <c r="D53" s="34"/>
    </row>
    <row r="54" spans="1:4" ht="12">
      <c r="A54" s="5"/>
      <c r="B54" s="34"/>
      <c r="C54" s="34"/>
      <c r="D54" s="34"/>
    </row>
    <row r="55" spans="1:5" ht="12">
      <c r="A55" s="5" t="s">
        <v>17</v>
      </c>
      <c r="B55" s="79">
        <v>17.31</v>
      </c>
      <c r="C55" s="79">
        <v>21.93</v>
      </c>
      <c r="D55" s="79">
        <v>11.8</v>
      </c>
      <c r="E55" s="8"/>
    </row>
    <row r="56" spans="1:10" ht="12">
      <c r="A56" s="5" t="s">
        <v>18</v>
      </c>
      <c r="B56" s="78">
        <v>710.63</v>
      </c>
      <c r="C56" s="78">
        <v>1205.64</v>
      </c>
      <c r="D56" s="78">
        <v>574.59</v>
      </c>
      <c r="E56" s="8"/>
      <c r="H56" s="9"/>
      <c r="J56" s="9"/>
    </row>
    <row r="57" spans="1:5" ht="12">
      <c r="A57" s="5" t="s">
        <v>19</v>
      </c>
      <c r="B57" s="78">
        <v>935.28</v>
      </c>
      <c r="C57" s="78">
        <v>976.79</v>
      </c>
      <c r="D57" s="78">
        <v>936.08</v>
      </c>
      <c r="E57" s="10"/>
    </row>
    <row r="58" spans="1:5" ht="12">
      <c r="A58" s="5" t="s">
        <v>20</v>
      </c>
      <c r="B58" s="78">
        <v>1321.51</v>
      </c>
      <c r="C58" s="78">
        <v>1345.64</v>
      </c>
      <c r="D58" s="78">
        <v>1287.88</v>
      </c>
      <c r="E58" s="10"/>
    </row>
    <row r="59" spans="1:5" ht="12">
      <c r="A59" s="5" t="s">
        <v>21</v>
      </c>
      <c r="B59" s="78">
        <v>583.33</v>
      </c>
      <c r="C59" s="78">
        <v>661.48</v>
      </c>
      <c r="D59" s="78">
        <v>635.41</v>
      </c>
      <c r="E59" s="10"/>
    </row>
    <row r="60" spans="1:10" ht="12">
      <c r="A60" s="5" t="s">
        <v>22</v>
      </c>
      <c r="B60" s="78">
        <v>621</v>
      </c>
      <c r="C60" s="78">
        <v>594.21</v>
      </c>
      <c r="D60" s="78">
        <v>566.55</v>
      </c>
      <c r="E60" s="10"/>
      <c r="H60" s="9"/>
      <c r="J60" s="9"/>
    </row>
    <row r="61" spans="1:10" ht="12">
      <c r="A61" s="5" t="s">
        <v>23</v>
      </c>
      <c r="B61" s="78">
        <v>40.97</v>
      </c>
      <c r="C61" s="78">
        <v>40.84</v>
      </c>
      <c r="D61" s="78">
        <v>40.76</v>
      </c>
      <c r="E61" s="10"/>
      <c r="H61" s="9"/>
      <c r="J61" s="9"/>
    </row>
    <row r="62" spans="1:4" ht="12">
      <c r="A62" s="5" t="s">
        <v>24</v>
      </c>
      <c r="B62" s="78">
        <v>74.08</v>
      </c>
      <c r="C62" s="78">
        <v>46.58</v>
      </c>
      <c r="D62" s="78">
        <v>42.94</v>
      </c>
    </row>
    <row r="63" spans="1:4" ht="12">
      <c r="A63" s="5" t="s">
        <v>25</v>
      </c>
      <c r="B63" s="78">
        <v>2.13</v>
      </c>
      <c r="C63" s="78">
        <v>2.54</v>
      </c>
      <c r="D63" s="78">
        <v>2.23</v>
      </c>
    </row>
    <row r="64" spans="1:4" ht="12">
      <c r="A64" s="5"/>
      <c r="B64" s="34"/>
      <c r="C64" s="34"/>
      <c r="D64" s="34"/>
    </row>
    <row r="65" spans="1:4" ht="12">
      <c r="A65" s="6" t="s">
        <v>26</v>
      </c>
      <c r="B65" s="34"/>
      <c r="C65" s="34"/>
      <c r="D65" s="34"/>
    </row>
    <row r="66" spans="1:5" ht="12">
      <c r="A66" s="5"/>
      <c r="B66" s="34"/>
      <c r="C66" s="34"/>
      <c r="D66" s="34"/>
      <c r="E66" s="8"/>
    </row>
    <row r="67" spans="1:5" ht="12">
      <c r="A67" s="5" t="s">
        <v>17</v>
      </c>
      <c r="B67" s="37">
        <v>434.87</v>
      </c>
      <c r="C67" s="37">
        <v>50.16</v>
      </c>
      <c r="D67" s="37">
        <v>90.73</v>
      </c>
      <c r="E67" s="8"/>
    </row>
    <row r="68" spans="1:5" ht="12">
      <c r="A68" s="5" t="s">
        <v>18</v>
      </c>
      <c r="B68" s="37">
        <v>1.27</v>
      </c>
      <c r="C68" s="37">
        <v>0.38</v>
      </c>
      <c r="D68" s="37">
        <v>0.67</v>
      </c>
      <c r="E68" s="9"/>
    </row>
    <row r="69" spans="1:5" ht="12">
      <c r="A69" s="5" t="s">
        <v>19</v>
      </c>
      <c r="B69" s="37">
        <v>102.32</v>
      </c>
      <c r="C69" s="37">
        <v>103.69</v>
      </c>
      <c r="D69" s="37">
        <v>105.11</v>
      </c>
      <c r="E69" s="9"/>
    </row>
    <row r="70" spans="1:5" ht="12">
      <c r="A70" s="5" t="s">
        <v>20</v>
      </c>
      <c r="B70" s="80">
        <v>3.99</v>
      </c>
      <c r="C70" s="80">
        <v>3.89</v>
      </c>
      <c r="D70" s="80">
        <v>39.5</v>
      </c>
      <c r="E70" s="9"/>
    </row>
    <row r="71" spans="1:5" ht="12">
      <c r="A71" s="5" t="s">
        <v>21</v>
      </c>
      <c r="B71" s="37">
        <v>0</v>
      </c>
      <c r="C71" s="37">
        <v>0</v>
      </c>
      <c r="D71" s="37">
        <v>0</v>
      </c>
      <c r="E71" s="9"/>
    </row>
    <row r="72" spans="1:5" ht="12">
      <c r="A72" s="5" t="s">
        <v>22</v>
      </c>
      <c r="B72" s="37">
        <v>3.15</v>
      </c>
      <c r="C72" s="37">
        <v>3.18</v>
      </c>
      <c r="D72" s="37">
        <v>3.22</v>
      </c>
      <c r="E72" s="9"/>
    </row>
    <row r="73" spans="1:4" ht="12">
      <c r="A73" s="5" t="s">
        <v>23</v>
      </c>
      <c r="B73" s="37">
        <v>0.68</v>
      </c>
      <c r="C73" s="37">
        <v>0.67</v>
      </c>
      <c r="D73" s="37">
        <v>0.69</v>
      </c>
    </row>
    <row r="74" spans="1:4" ht="12">
      <c r="A74" s="5" t="s">
        <v>24</v>
      </c>
      <c r="B74" s="37">
        <v>0.13</v>
      </c>
      <c r="C74" s="37">
        <v>0.03</v>
      </c>
      <c r="D74" s="37">
        <v>0.03</v>
      </c>
    </row>
    <row r="75" spans="1:4" ht="12">
      <c r="A75" s="5" t="s">
        <v>25</v>
      </c>
      <c r="B75" s="37">
        <v>0.29</v>
      </c>
      <c r="C75" s="37">
        <v>0</v>
      </c>
      <c r="D75" s="37">
        <v>0</v>
      </c>
    </row>
    <row r="76" spans="1:4" ht="12.75" thickBot="1">
      <c r="A76" s="5"/>
      <c r="B76" s="37"/>
      <c r="C76" s="37"/>
      <c r="D76" s="37"/>
    </row>
    <row r="77" spans="1:4" ht="12.75" thickBot="1">
      <c r="A77" s="3" t="s">
        <v>108</v>
      </c>
      <c r="B77" s="74">
        <v>39201</v>
      </c>
      <c r="C77" s="74">
        <v>39232</v>
      </c>
      <c r="D77" s="74">
        <v>39263</v>
      </c>
    </row>
    <row r="78" spans="1:4" ht="12">
      <c r="A78" s="5"/>
      <c r="B78" s="34"/>
      <c r="C78" s="34"/>
      <c r="D78" s="34"/>
    </row>
    <row r="79" spans="1:4" ht="12">
      <c r="A79" s="5"/>
      <c r="B79" s="34"/>
      <c r="C79" s="34"/>
      <c r="D79" s="34"/>
    </row>
    <row r="80" spans="1:4" ht="12">
      <c r="A80" s="5" t="s">
        <v>27</v>
      </c>
      <c r="B80" s="76">
        <v>6.9</v>
      </c>
      <c r="C80" s="76">
        <v>7.1</v>
      </c>
      <c r="D80" s="173" t="s">
        <v>170</v>
      </c>
    </row>
    <row r="81" spans="1:4" ht="12">
      <c r="A81" s="5" t="s">
        <v>28</v>
      </c>
      <c r="B81" s="76">
        <v>2.5</v>
      </c>
      <c r="C81" s="173">
        <v>3.1</v>
      </c>
      <c r="D81" s="173" t="s">
        <v>170</v>
      </c>
    </row>
    <row r="82" spans="1:4" ht="12.75" thickBot="1">
      <c r="A82" s="11" t="s">
        <v>29</v>
      </c>
      <c r="B82" s="82">
        <v>0.8</v>
      </c>
      <c r="C82" s="82">
        <v>0.5</v>
      </c>
      <c r="D82" s="82" t="s">
        <v>170</v>
      </c>
    </row>
    <row r="83" ht="12">
      <c r="A83" s="2" t="s">
        <v>159</v>
      </c>
    </row>
    <row r="84" ht="12">
      <c r="A84" s="2" t="s">
        <v>148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4"/>
  <sheetViews>
    <sheetView showGridLines="0" zoomScale="75" zoomScaleNormal="75" zoomScaleSheetLayoutView="75" zoomScalePageLayoutView="0" workbookViewId="0" topLeftCell="B18">
      <selection activeCell="B3" sqref="A3:R85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3:13" ht="15.75"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7" ht="15.75">
      <c r="A4" s="15"/>
      <c r="B4" s="15"/>
      <c r="C4" s="185" t="s">
        <v>162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5"/>
      <c r="O4" s="15"/>
      <c r="P4" s="15"/>
      <c r="Q4" s="15"/>
    </row>
    <row r="5" spans="1:17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5"/>
      <c r="M6" s="15"/>
      <c r="N6" s="15"/>
      <c r="O6" s="15"/>
      <c r="P6" s="15"/>
      <c r="Q6" s="15"/>
    </row>
    <row r="7" spans="1:17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0"/>
      <c r="P7" s="15"/>
      <c r="Q7" s="15"/>
    </row>
    <row r="8" spans="1:17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15"/>
      <c r="C26" s="156" t="s">
        <v>153</v>
      </c>
      <c r="D26" s="156"/>
      <c r="E26" s="1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15"/>
      <c r="B27" s="16"/>
      <c r="C27" s="139"/>
      <c r="D27" s="140"/>
      <c r="E27" s="1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185" t="s">
        <v>163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5"/>
      <c r="M30" s="15"/>
      <c r="N30" s="15"/>
      <c r="O30" s="15"/>
      <c r="P30" s="15"/>
      <c r="Q30" s="15"/>
    </row>
    <row r="31" spans="1:17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5"/>
      <c r="B52" s="16"/>
      <c r="C52" s="156" t="s">
        <v>152</v>
      </c>
      <c r="D52" s="15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">
      <c r="A54" s="15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2:17" ht="15">
      <c r="L55" s="15"/>
      <c r="M55" s="15"/>
      <c r="N55" s="15"/>
      <c r="O55" s="15"/>
      <c r="P55" s="15"/>
      <c r="Q55" s="15"/>
    </row>
    <row r="56" spans="1:17" ht="15">
      <c r="A56" s="15"/>
      <c r="B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15"/>
      <c r="B58" s="15"/>
      <c r="C58" s="184" t="s">
        <v>164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ht="15">
      <c r="B75" s="16"/>
    </row>
    <row r="78" ht="15">
      <c r="B78" s="16"/>
    </row>
    <row r="79" spans="3:6" ht="15.75">
      <c r="C79" s="156" t="s">
        <v>154</v>
      </c>
      <c r="D79" s="157"/>
      <c r="E79" s="157"/>
      <c r="F79" s="157"/>
    </row>
    <row r="84" ht="15">
      <c r="C84" s="16"/>
    </row>
  </sheetData>
  <sheetProtection/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C22"/>
  <sheetViews>
    <sheetView showGridLines="0" zoomScaleSheetLayoutView="75" zoomScalePageLayoutView="0" workbookViewId="0" topLeftCell="A3">
      <pane xSplit="30" ySplit="2" topLeftCell="AW5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A7" sqref="BA7"/>
    </sheetView>
  </sheetViews>
  <sheetFormatPr defaultColWidth="9.140625" defaultRowHeight="19.5" customHeight="1"/>
  <cols>
    <col min="1" max="1" width="4.7109375" style="35" customWidth="1"/>
    <col min="2" max="2" width="57.7109375" style="35" customWidth="1"/>
    <col min="3" max="7" width="9.8515625" style="35" hidden="1" customWidth="1"/>
    <col min="8" max="8" width="11.28125" style="35" hidden="1" customWidth="1"/>
    <col min="9" max="9" width="11.8515625" style="35" hidden="1" customWidth="1"/>
    <col min="10" max="11" width="9.8515625" style="35" hidden="1" customWidth="1"/>
    <col min="12" max="12" width="11.140625" style="35" hidden="1" customWidth="1"/>
    <col min="13" max="13" width="11.421875" style="35" hidden="1" customWidth="1"/>
    <col min="14" max="14" width="11.00390625" style="35" hidden="1" customWidth="1"/>
    <col min="15" max="15" width="10.140625" style="35" hidden="1" customWidth="1"/>
    <col min="16" max="16" width="9.8515625" style="35" hidden="1" customWidth="1"/>
    <col min="17" max="17" width="11.28125" style="35" hidden="1" customWidth="1"/>
    <col min="18" max="18" width="10.7109375" style="35" hidden="1" customWidth="1"/>
    <col min="19" max="19" width="11.00390625" style="35" hidden="1" customWidth="1"/>
    <col min="20" max="20" width="14.7109375" style="35" hidden="1" customWidth="1"/>
    <col min="21" max="21" width="2.00390625" style="35" hidden="1" customWidth="1"/>
    <col min="22" max="22" width="10.421875" style="35" hidden="1" customWidth="1"/>
    <col min="23" max="23" width="9.8515625" style="35" hidden="1" customWidth="1"/>
    <col min="24" max="24" width="9.421875" style="35" hidden="1" customWidth="1"/>
    <col min="25" max="25" width="11.28125" style="35" hidden="1" customWidth="1"/>
    <col min="26" max="26" width="10.421875" style="35" hidden="1" customWidth="1"/>
    <col min="27" max="27" width="10.8515625" style="35" hidden="1" customWidth="1"/>
    <col min="28" max="28" width="11.00390625" style="35" hidden="1" customWidth="1"/>
    <col min="29" max="29" width="11.7109375" style="35" hidden="1" customWidth="1"/>
    <col min="30" max="30" width="9.8515625" style="35" hidden="1" customWidth="1"/>
    <col min="31" max="31" width="10.8515625" style="35" hidden="1" customWidth="1"/>
    <col min="32" max="32" width="11.8515625" style="35" hidden="1" customWidth="1"/>
    <col min="33" max="33" width="12.140625" style="35" hidden="1" customWidth="1"/>
    <col min="34" max="34" width="11.421875" style="35" hidden="1" customWidth="1"/>
    <col min="35" max="35" width="11.140625" style="35" hidden="1" customWidth="1"/>
    <col min="36" max="36" width="10.8515625" style="35" hidden="1" customWidth="1"/>
    <col min="37" max="40" width="10.421875" style="35" hidden="1" customWidth="1"/>
    <col min="41" max="41" width="11.421875" style="35" hidden="1" customWidth="1"/>
    <col min="42" max="44" width="11.00390625" style="35" customWidth="1"/>
    <col min="45" max="48" width="12.7109375" style="35" customWidth="1"/>
    <col min="49" max="49" width="11.421875" style="35" customWidth="1"/>
    <col min="50" max="50" width="10.7109375" style="35" customWidth="1"/>
    <col min="51" max="52" width="11.8515625" style="35" customWidth="1"/>
    <col min="53" max="53" width="11.28125" style="35" customWidth="1"/>
    <col min="54" max="54" width="11.421875" style="35" customWidth="1"/>
    <col min="55" max="55" width="10.421875" style="35" customWidth="1"/>
    <col min="56" max="16384" width="9.140625" style="35" customWidth="1"/>
  </cols>
  <sheetData>
    <row r="1" ht="19.5" customHeight="1" thickBot="1"/>
    <row r="2" spans="2:48" ht="19.5" customHeight="1">
      <c r="B2" s="90" t="s">
        <v>149</v>
      </c>
      <c r="C2" s="91"/>
      <c r="D2" s="91"/>
      <c r="E2" s="91"/>
      <c r="F2" s="92"/>
      <c r="G2" s="93"/>
      <c r="H2" s="92"/>
      <c r="I2" s="93"/>
      <c r="J2" s="93"/>
      <c r="K2" s="92"/>
      <c r="L2" s="92"/>
      <c r="M2" s="94"/>
      <c r="N2" s="93"/>
      <c r="O2" s="95"/>
      <c r="P2" s="93"/>
      <c r="Q2" s="92"/>
      <c r="R2" s="93"/>
      <c r="S2" s="93"/>
      <c r="T2" s="96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</row>
    <row r="3" spans="2:52" ht="19.5" customHeight="1" thickBot="1">
      <c r="B3" s="97"/>
      <c r="C3" s="97"/>
      <c r="D3" s="97"/>
      <c r="E3" s="97"/>
      <c r="F3" s="98"/>
      <c r="G3" s="98"/>
      <c r="H3" s="98"/>
      <c r="I3" s="99"/>
      <c r="J3" s="99"/>
      <c r="K3" s="98"/>
      <c r="L3" s="98"/>
      <c r="M3" s="100"/>
      <c r="N3" s="99"/>
      <c r="O3" s="101"/>
      <c r="P3" s="99"/>
      <c r="Q3" s="98"/>
      <c r="R3" s="99"/>
      <c r="S3" s="99"/>
      <c r="T3" s="102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158"/>
      <c r="AX3" s="158"/>
      <c r="AY3" s="158"/>
      <c r="AZ3" s="138"/>
    </row>
    <row r="4" spans="2:55" ht="19.5" customHeight="1">
      <c r="B4" s="159"/>
      <c r="C4" s="160">
        <v>37655</v>
      </c>
      <c r="D4" s="160">
        <v>37681</v>
      </c>
      <c r="E4" s="160">
        <v>37712</v>
      </c>
      <c r="F4" s="160">
        <v>37742</v>
      </c>
      <c r="G4" s="160">
        <v>37773</v>
      </c>
      <c r="H4" s="160">
        <v>37803</v>
      </c>
      <c r="I4" s="160">
        <v>37834</v>
      </c>
      <c r="J4" s="160">
        <v>37865</v>
      </c>
      <c r="K4" s="160">
        <v>37895</v>
      </c>
      <c r="L4" s="160">
        <v>37926</v>
      </c>
      <c r="M4" s="160">
        <v>37956</v>
      </c>
      <c r="N4" s="160">
        <v>37987</v>
      </c>
      <c r="O4" s="161">
        <v>38018</v>
      </c>
      <c r="P4" s="160">
        <v>38047</v>
      </c>
      <c r="Q4" s="160">
        <v>38078</v>
      </c>
      <c r="R4" s="160">
        <v>38108</v>
      </c>
      <c r="S4" s="160">
        <v>38139</v>
      </c>
      <c r="T4" s="160">
        <v>38169</v>
      </c>
      <c r="U4" s="160">
        <v>38200</v>
      </c>
      <c r="V4" s="160">
        <v>38231</v>
      </c>
      <c r="W4" s="160">
        <v>38261</v>
      </c>
      <c r="X4" s="160">
        <v>38292</v>
      </c>
      <c r="Y4" s="160">
        <v>38322</v>
      </c>
      <c r="Z4" s="160">
        <v>38353</v>
      </c>
      <c r="AA4" s="160">
        <v>38384</v>
      </c>
      <c r="AB4" s="160">
        <v>38412</v>
      </c>
      <c r="AC4" s="160">
        <v>38443</v>
      </c>
      <c r="AD4" s="160">
        <v>38473</v>
      </c>
      <c r="AE4" s="160">
        <v>38504</v>
      </c>
      <c r="AF4" s="160">
        <v>38534</v>
      </c>
      <c r="AG4" s="160">
        <v>38565</v>
      </c>
      <c r="AH4" s="160">
        <v>38596</v>
      </c>
      <c r="AI4" s="160">
        <v>38626</v>
      </c>
      <c r="AJ4" s="160">
        <v>38657</v>
      </c>
      <c r="AK4" s="160">
        <v>38687</v>
      </c>
      <c r="AL4" s="160">
        <v>38718</v>
      </c>
      <c r="AM4" s="160">
        <v>38749</v>
      </c>
      <c r="AN4" s="160">
        <v>38777</v>
      </c>
      <c r="AO4" s="160">
        <v>38808</v>
      </c>
      <c r="AP4" s="160">
        <v>38838</v>
      </c>
      <c r="AQ4" s="160">
        <v>38869</v>
      </c>
      <c r="AR4" s="160">
        <v>38929</v>
      </c>
      <c r="AS4" s="160">
        <v>38960</v>
      </c>
      <c r="AT4" s="160">
        <v>38990</v>
      </c>
      <c r="AU4" s="160">
        <v>39021</v>
      </c>
      <c r="AV4" s="160">
        <v>39051</v>
      </c>
      <c r="AW4" s="160">
        <v>39082</v>
      </c>
      <c r="AX4" s="160">
        <v>39113</v>
      </c>
      <c r="AY4" s="160">
        <v>39141</v>
      </c>
      <c r="AZ4" s="160">
        <v>39172</v>
      </c>
      <c r="BA4" s="160">
        <v>39202</v>
      </c>
      <c r="BB4" s="160">
        <v>39233</v>
      </c>
      <c r="BC4" s="160">
        <v>39263</v>
      </c>
    </row>
    <row r="5" spans="1:55" ht="19.5" customHeight="1">
      <c r="A5" s="137"/>
      <c r="B5" s="103" t="s">
        <v>113</v>
      </c>
      <c r="C5" s="104"/>
      <c r="D5" s="104"/>
      <c r="E5" s="105"/>
      <c r="F5" s="106"/>
      <c r="G5" s="106"/>
      <c r="H5" s="106"/>
      <c r="I5" s="106"/>
      <c r="J5" s="106"/>
      <c r="K5" s="106"/>
      <c r="L5" s="106"/>
      <c r="M5" s="107"/>
      <c r="N5" s="106"/>
      <c r="O5" s="108"/>
      <c r="P5" s="109"/>
      <c r="Q5" s="106"/>
      <c r="R5" s="109"/>
      <c r="S5" s="109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</row>
    <row r="6" spans="1:55" ht="19.5" customHeight="1">
      <c r="A6" s="138"/>
      <c r="B6" s="103"/>
      <c r="C6" s="104"/>
      <c r="D6" s="104"/>
      <c r="E6" s="105"/>
      <c r="F6" s="106"/>
      <c r="G6" s="106"/>
      <c r="H6" s="106"/>
      <c r="I6" s="106"/>
      <c r="J6" s="106"/>
      <c r="K6" s="106"/>
      <c r="L6" s="106"/>
      <c r="M6" s="107"/>
      <c r="N6" s="106"/>
      <c r="O6" s="108"/>
      <c r="P6" s="109"/>
      <c r="Q6" s="106"/>
      <c r="R6" s="109"/>
      <c r="S6" s="109"/>
      <c r="T6" s="110"/>
      <c r="U6" s="109"/>
      <c r="V6" s="109"/>
      <c r="W6" s="109"/>
      <c r="X6" s="109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</row>
    <row r="7" spans="2:55" ht="19.5" customHeight="1">
      <c r="B7" s="103" t="s">
        <v>169</v>
      </c>
      <c r="C7" s="111">
        <v>2595.44027685</v>
      </c>
      <c r="D7" s="111">
        <v>2187.8368766900003</v>
      </c>
      <c r="E7" s="111">
        <v>2272.4872471500003</v>
      </c>
      <c r="F7" s="112">
        <v>2113.36340838</v>
      </c>
      <c r="G7" s="112">
        <v>2165.8</v>
      </c>
      <c r="H7" s="113">
        <v>2129.6</v>
      </c>
      <c r="I7" s="106">
        <v>1891</v>
      </c>
      <c r="J7" s="112">
        <v>2181.2</v>
      </c>
      <c r="K7" s="112">
        <v>2467.9</v>
      </c>
      <c r="L7" s="112">
        <v>2091</v>
      </c>
      <c r="M7" s="114">
        <v>2110.3</v>
      </c>
      <c r="N7" s="112">
        <v>2710.8702829799995</v>
      </c>
      <c r="O7" s="115">
        <v>1935.4129830699999</v>
      </c>
      <c r="P7" s="116">
        <v>1824.1042653499997</v>
      </c>
      <c r="Q7" s="106">
        <v>2395.6</v>
      </c>
      <c r="R7" s="106">
        <v>1860.4</v>
      </c>
      <c r="S7" s="106">
        <v>1783.2</v>
      </c>
      <c r="T7" s="106">
        <v>1984.6</v>
      </c>
      <c r="U7" s="106">
        <v>1989.9</v>
      </c>
      <c r="V7" s="106">
        <v>1808.2</v>
      </c>
      <c r="W7" s="106">
        <v>2207.6</v>
      </c>
      <c r="X7" s="106">
        <v>1987.9</v>
      </c>
      <c r="Y7" s="106">
        <v>1977.3</v>
      </c>
      <c r="Z7" s="106">
        <v>2327.5</v>
      </c>
      <c r="AA7" s="106">
        <v>2029.5</v>
      </c>
      <c r="AB7" s="106">
        <v>1912.6</v>
      </c>
      <c r="AC7" s="106">
        <v>2303.8</v>
      </c>
      <c r="AD7" s="106">
        <v>2107.1</v>
      </c>
      <c r="AE7" s="106">
        <v>1874.1</v>
      </c>
      <c r="AF7" s="106">
        <v>2354.7</v>
      </c>
      <c r="AG7" s="106">
        <v>2159.1</v>
      </c>
      <c r="AH7" s="106">
        <v>1818.2</v>
      </c>
      <c r="AI7" s="112">
        <v>2245</v>
      </c>
      <c r="AJ7" s="112">
        <v>1902.22246</v>
      </c>
      <c r="AK7" s="112">
        <v>1983.9</v>
      </c>
      <c r="AL7" s="112">
        <v>2705.5</v>
      </c>
      <c r="AM7" s="112">
        <v>2696</v>
      </c>
      <c r="AN7" s="112">
        <v>2458.1</v>
      </c>
      <c r="AO7" s="112">
        <v>3129.7</v>
      </c>
      <c r="AP7" s="112">
        <v>2973</v>
      </c>
      <c r="AQ7" s="112">
        <v>2677.9</v>
      </c>
      <c r="AR7" s="112">
        <v>3313.1</v>
      </c>
      <c r="AS7" s="112">
        <v>2760.7</v>
      </c>
      <c r="AT7" s="112">
        <v>3119.2</v>
      </c>
      <c r="AU7" s="112">
        <v>4104.4</v>
      </c>
      <c r="AV7" s="112">
        <v>3495.2</v>
      </c>
      <c r="AW7" s="112">
        <v>3164.3</v>
      </c>
      <c r="AX7" s="112">
        <v>4865.6</v>
      </c>
      <c r="AY7" s="112">
        <v>4466.4</v>
      </c>
      <c r="AZ7" s="112">
        <v>5690</v>
      </c>
      <c r="BA7" s="112">
        <v>6260.1</v>
      </c>
      <c r="BB7" s="112">
        <v>5643.8</v>
      </c>
      <c r="BC7" s="113" t="s">
        <v>170</v>
      </c>
    </row>
    <row r="8" spans="2:55" ht="19.5" customHeight="1">
      <c r="B8" s="103" t="s">
        <v>30</v>
      </c>
      <c r="C8" s="117"/>
      <c r="D8" s="117">
        <f>D7-C7</f>
        <v>-407.60340015999964</v>
      </c>
      <c r="E8" s="117">
        <f>E7-D7</f>
        <v>84.65037045999998</v>
      </c>
      <c r="F8" s="117">
        <f>F7-E7</f>
        <v>-159.12383877000048</v>
      </c>
      <c r="G8" s="117">
        <f aca="true" t="shared" si="0" ref="G8:AG8">G7-F7</f>
        <v>52.4365916200004</v>
      </c>
      <c r="H8" s="117">
        <f t="shared" si="0"/>
        <v>-36.20000000000027</v>
      </c>
      <c r="I8" s="117">
        <f t="shared" si="0"/>
        <v>-238.5999999999999</v>
      </c>
      <c r="J8" s="117">
        <f t="shared" si="0"/>
        <v>290.1999999999998</v>
      </c>
      <c r="K8" s="117">
        <f t="shared" si="0"/>
        <v>286.7000000000003</v>
      </c>
      <c r="L8" s="117">
        <f t="shared" si="0"/>
        <v>-376.9000000000001</v>
      </c>
      <c r="M8" s="117">
        <f t="shared" si="0"/>
        <v>19.300000000000182</v>
      </c>
      <c r="N8" s="117">
        <f t="shared" si="0"/>
        <v>600.5702829799993</v>
      </c>
      <c r="O8" s="118">
        <f t="shared" si="0"/>
        <v>-775.4572999099996</v>
      </c>
      <c r="P8" s="113">
        <f t="shared" si="0"/>
        <v>-111.30871772000023</v>
      </c>
      <c r="Q8" s="113">
        <f t="shared" si="0"/>
        <v>571.4957346500003</v>
      </c>
      <c r="R8" s="113">
        <f t="shared" si="0"/>
        <v>-535.1999999999998</v>
      </c>
      <c r="S8" s="113">
        <f t="shared" si="0"/>
        <v>-77.20000000000005</v>
      </c>
      <c r="T8" s="113">
        <f t="shared" si="0"/>
        <v>201.39999999999986</v>
      </c>
      <c r="U8" s="113">
        <f t="shared" si="0"/>
        <v>5.300000000000182</v>
      </c>
      <c r="V8" s="113">
        <f t="shared" si="0"/>
        <v>-181.70000000000005</v>
      </c>
      <c r="W8" s="113">
        <f t="shared" si="0"/>
        <v>399.39999999999986</v>
      </c>
      <c r="X8" s="113">
        <f t="shared" si="0"/>
        <v>-219.69999999999982</v>
      </c>
      <c r="Y8" s="113">
        <f t="shared" si="0"/>
        <v>-10.600000000000136</v>
      </c>
      <c r="Z8" s="113">
        <f t="shared" si="0"/>
        <v>350.20000000000005</v>
      </c>
      <c r="AA8" s="113">
        <f t="shared" si="0"/>
        <v>-298</v>
      </c>
      <c r="AB8" s="113">
        <f t="shared" si="0"/>
        <v>-116.90000000000009</v>
      </c>
      <c r="AC8" s="113">
        <f t="shared" si="0"/>
        <v>391.2000000000003</v>
      </c>
      <c r="AD8" s="113">
        <f t="shared" si="0"/>
        <v>-196.70000000000027</v>
      </c>
      <c r="AE8" s="113">
        <f t="shared" si="0"/>
        <v>-233</v>
      </c>
      <c r="AF8" s="113">
        <f t="shared" si="0"/>
        <v>480.5999999999999</v>
      </c>
      <c r="AG8" s="113">
        <f t="shared" si="0"/>
        <v>-195.5999999999999</v>
      </c>
      <c r="AH8" s="113">
        <f aca="true" t="shared" si="1" ref="AH8:BB8">AH7-AG7</f>
        <v>-340.89999999999986</v>
      </c>
      <c r="AI8" s="113">
        <f t="shared" si="1"/>
        <v>426.79999999999995</v>
      </c>
      <c r="AJ8" s="113">
        <f t="shared" si="1"/>
        <v>-342.77754000000004</v>
      </c>
      <c r="AK8" s="113">
        <f t="shared" si="1"/>
        <v>81.67754000000014</v>
      </c>
      <c r="AL8" s="113">
        <f t="shared" si="1"/>
        <v>721.5999999999999</v>
      </c>
      <c r="AM8" s="113">
        <f t="shared" si="1"/>
        <v>-9.5</v>
      </c>
      <c r="AN8" s="113">
        <f t="shared" si="1"/>
        <v>-237.9000000000001</v>
      </c>
      <c r="AO8" s="113">
        <f t="shared" si="1"/>
        <v>671.5999999999999</v>
      </c>
      <c r="AP8" s="113">
        <f t="shared" si="1"/>
        <v>-156.69999999999982</v>
      </c>
      <c r="AQ8" s="113">
        <f t="shared" si="1"/>
        <v>-295.0999999999999</v>
      </c>
      <c r="AR8" s="113">
        <f t="shared" si="1"/>
        <v>635.1999999999998</v>
      </c>
      <c r="AS8" s="113">
        <f t="shared" si="1"/>
        <v>-552.4000000000001</v>
      </c>
      <c r="AT8" s="113">
        <f t="shared" si="1"/>
        <v>358.5</v>
      </c>
      <c r="AU8" s="113">
        <f t="shared" si="1"/>
        <v>985.1999999999998</v>
      </c>
      <c r="AV8" s="113">
        <f t="shared" si="1"/>
        <v>-609.1999999999998</v>
      </c>
      <c r="AW8" s="113">
        <f t="shared" si="1"/>
        <v>-330.89999999999964</v>
      </c>
      <c r="AX8" s="113">
        <f t="shared" si="1"/>
        <v>1701.3000000000002</v>
      </c>
      <c r="AY8" s="113">
        <f t="shared" si="1"/>
        <v>-399.2000000000007</v>
      </c>
      <c r="AZ8" s="113">
        <f t="shared" si="1"/>
        <v>1223.6000000000004</v>
      </c>
      <c r="BA8" s="113">
        <f t="shared" si="1"/>
        <v>570.1000000000004</v>
      </c>
      <c r="BB8" s="113">
        <f t="shared" si="1"/>
        <v>-616.3000000000002</v>
      </c>
      <c r="BC8" s="113" t="s">
        <v>170</v>
      </c>
    </row>
    <row r="9" spans="2:55" ht="19.5" customHeight="1">
      <c r="B9" s="103"/>
      <c r="C9" s="104"/>
      <c r="D9" s="104"/>
      <c r="E9" s="104"/>
      <c r="F9" s="106"/>
      <c r="G9" s="106"/>
      <c r="H9" s="106"/>
      <c r="I9" s="106"/>
      <c r="J9" s="106"/>
      <c r="K9" s="106"/>
      <c r="L9" s="106"/>
      <c r="M9" s="107"/>
      <c r="N9" s="106"/>
      <c r="O9" s="108"/>
      <c r="P9" s="109"/>
      <c r="Q9" s="106"/>
      <c r="R9" s="109"/>
      <c r="S9" s="109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</row>
    <row r="10" spans="2:55" ht="19.5" customHeight="1">
      <c r="B10" s="103" t="s">
        <v>44</v>
      </c>
      <c r="C10" s="104"/>
      <c r="D10" s="104"/>
      <c r="E10" s="104"/>
      <c r="F10" s="106"/>
      <c r="G10" s="106"/>
      <c r="H10" s="106"/>
      <c r="I10" s="106"/>
      <c r="J10" s="106"/>
      <c r="K10" s="106"/>
      <c r="L10" s="106"/>
      <c r="M10" s="107"/>
      <c r="N10" s="106"/>
      <c r="O10" s="108"/>
      <c r="P10" s="109"/>
      <c r="Q10" s="106"/>
      <c r="R10" s="109"/>
      <c r="S10" s="109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</row>
    <row r="11" spans="2:55" ht="19.5" customHeight="1">
      <c r="B11" s="103"/>
      <c r="C11" s="104"/>
      <c r="D11" s="104"/>
      <c r="E11" s="104"/>
      <c r="F11" s="106"/>
      <c r="G11" s="106"/>
      <c r="H11" s="106"/>
      <c r="I11" s="106"/>
      <c r="J11" s="106"/>
      <c r="K11" s="106"/>
      <c r="L11" s="106"/>
      <c r="M11" s="107"/>
      <c r="N11" s="106"/>
      <c r="O11" s="108"/>
      <c r="P11" s="109"/>
      <c r="Q11" s="106"/>
      <c r="R11" s="109"/>
      <c r="S11" s="109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</row>
    <row r="12" spans="2:55" ht="19.5" customHeight="1">
      <c r="B12" s="103" t="s">
        <v>31</v>
      </c>
      <c r="C12" s="104"/>
      <c r="D12" s="104">
        <v>8.0439</v>
      </c>
      <c r="E12" s="104">
        <v>7.7068</v>
      </c>
      <c r="F12" s="119">
        <v>7.6652</v>
      </c>
      <c r="G12" s="119">
        <v>7.9027</v>
      </c>
      <c r="H12" s="119">
        <v>7.5401</v>
      </c>
      <c r="I12" s="106">
        <v>7.3922</v>
      </c>
      <c r="J12" s="106">
        <v>7.3246</v>
      </c>
      <c r="K12" s="106">
        <v>6.9637</v>
      </c>
      <c r="L12" s="106">
        <v>6.7287</v>
      </c>
      <c r="M12" s="107">
        <v>6.5159</v>
      </c>
      <c r="N12" s="106">
        <v>6.9179</v>
      </c>
      <c r="O12" s="107">
        <v>6.7686</v>
      </c>
      <c r="P12" s="106">
        <v>6.6633</v>
      </c>
      <c r="Q12" s="106">
        <v>6.5537</v>
      </c>
      <c r="R12" s="106">
        <v>6.7821</v>
      </c>
      <c r="S12" s="106">
        <v>6.4381</v>
      </c>
      <c r="T12" s="120">
        <v>6.1287</v>
      </c>
      <c r="U12" s="106">
        <v>6.4575</v>
      </c>
      <c r="V12" s="106">
        <v>6.5469</v>
      </c>
      <c r="W12" s="106">
        <v>6.3876</v>
      </c>
      <c r="X12" s="106">
        <v>6.0558</v>
      </c>
      <c r="Y12" s="106">
        <v>5.7323</v>
      </c>
      <c r="Z12" s="106">
        <v>5.9698</v>
      </c>
      <c r="AA12" s="106">
        <v>6.0161</v>
      </c>
      <c r="AB12" s="106">
        <v>6.323</v>
      </c>
      <c r="AC12" s="106">
        <v>6.1521</v>
      </c>
      <c r="AD12" s="106">
        <v>6.3314</v>
      </c>
      <c r="AE12" s="120">
        <v>6.75</v>
      </c>
      <c r="AF12" s="120">
        <v>6.7035</v>
      </c>
      <c r="AG12" s="120">
        <v>6.465</v>
      </c>
      <c r="AH12" s="120">
        <v>6.3578</v>
      </c>
      <c r="AI12" s="120">
        <v>6.5766</v>
      </c>
      <c r="AJ12" s="120">
        <v>6.521</v>
      </c>
      <c r="AK12" s="120">
        <v>6.3591</v>
      </c>
      <c r="AL12" s="120">
        <v>6.0891</v>
      </c>
      <c r="AM12" s="120">
        <v>6.1177</v>
      </c>
      <c r="AN12" s="120">
        <v>6.2544</v>
      </c>
      <c r="AO12" s="120">
        <v>6.072</v>
      </c>
      <c r="AP12" s="120">
        <v>6.3199</v>
      </c>
      <c r="AQ12" s="120">
        <v>6.9549</v>
      </c>
      <c r="AR12" s="120">
        <v>7.0843</v>
      </c>
      <c r="AS12" s="120">
        <v>6.9553</v>
      </c>
      <c r="AT12" s="120">
        <v>7.4098</v>
      </c>
      <c r="AU12" s="120">
        <v>7.6492</v>
      </c>
      <c r="AV12" s="120">
        <v>7.2586</v>
      </c>
      <c r="AW12" s="120">
        <v>7.0406</v>
      </c>
      <c r="AX12" s="120">
        <v>7.1838</v>
      </c>
      <c r="AY12" s="120">
        <v>7.1698</v>
      </c>
      <c r="AZ12" s="120">
        <v>7.3514</v>
      </c>
      <c r="BA12" s="120">
        <v>7.1216</v>
      </c>
      <c r="BB12" s="120">
        <v>7.0187</v>
      </c>
      <c r="BC12" s="120">
        <v>7.1718</v>
      </c>
    </row>
    <row r="13" spans="2:55" ht="19.5" customHeight="1">
      <c r="B13" s="103" t="s">
        <v>32</v>
      </c>
      <c r="C13" s="121"/>
      <c r="D13" s="121">
        <f>1/8.0439</f>
        <v>0.124317806039359</v>
      </c>
      <c r="E13" s="121">
        <f>1/7.7068</f>
        <v>0.12975554056158198</v>
      </c>
      <c r="F13" s="122">
        <f>1/7.6652</f>
        <v>0.13045974012419767</v>
      </c>
      <c r="G13" s="122">
        <f>1/7.9027</f>
        <v>0.12653903096410088</v>
      </c>
      <c r="H13" s="122">
        <f>1/7.5401</f>
        <v>0.1326242357528415</v>
      </c>
      <c r="I13" s="122">
        <f>1/7.3922</f>
        <v>0.13527772516977354</v>
      </c>
      <c r="J13" s="122">
        <f>1/7.3246</f>
        <v>0.1365262266881468</v>
      </c>
      <c r="K13" s="122">
        <f>1/6.9637</f>
        <v>0.14360182087108864</v>
      </c>
      <c r="L13" s="122">
        <f>1/6.7287</f>
        <v>0.14861711771961894</v>
      </c>
      <c r="M13" s="122">
        <f>1/6.5159</f>
        <v>0.15347074080326586</v>
      </c>
      <c r="N13" s="122">
        <f>1/6.9179</f>
        <v>0.14455253761979792</v>
      </c>
      <c r="O13" s="123">
        <f>1/6.7686</f>
        <v>0.14774103950595396</v>
      </c>
      <c r="P13" s="122">
        <f>1/6.6633</f>
        <v>0.1500757882730779</v>
      </c>
      <c r="Q13" s="122">
        <f>1/6.5537</f>
        <v>0.15258556235409004</v>
      </c>
      <c r="R13" s="122">
        <f>1/6.7821</f>
        <v>0.14744695595759427</v>
      </c>
      <c r="S13" s="122">
        <f>1/6.4381</f>
        <v>0.15532532890138395</v>
      </c>
      <c r="T13" s="122">
        <f>1/6.1287</f>
        <v>0.1631667400916997</v>
      </c>
      <c r="U13" s="122">
        <f>1/6.4575</f>
        <v>0.1548586914440573</v>
      </c>
      <c r="V13" s="122">
        <f>1/6.5469</f>
        <v>0.15274404680077594</v>
      </c>
      <c r="W13" s="122">
        <f>1/6.3876</f>
        <v>0.15655332206149414</v>
      </c>
      <c r="X13" s="122">
        <f>1/6.0558</f>
        <v>0.16513094884243207</v>
      </c>
      <c r="Y13" s="122">
        <f>1/5.7323</f>
        <v>0.17445004622926225</v>
      </c>
      <c r="Z13" s="122">
        <f>1/5.9698</f>
        <v>0.1675097993232604</v>
      </c>
      <c r="AA13" s="122">
        <f>1/6.0161</f>
        <v>0.16622064127923405</v>
      </c>
      <c r="AB13" s="122">
        <f>1/6.0101</f>
        <v>0.16638658258598024</v>
      </c>
      <c r="AC13" s="122">
        <f>1/6.1521</f>
        <v>0.16254612246224867</v>
      </c>
      <c r="AD13" s="122">
        <f>1/6.3314</f>
        <v>0.1579429510060966</v>
      </c>
      <c r="AE13" s="122">
        <f>1/6.75</f>
        <v>0.14814814814814814</v>
      </c>
      <c r="AF13" s="122">
        <f>1/6.7035</f>
        <v>0.14917580368464234</v>
      </c>
      <c r="AG13" s="122">
        <f>1/6.465</f>
        <v>0.15467904098994587</v>
      </c>
      <c r="AH13" s="122">
        <f>1/6.3578</f>
        <v>0.1572871118940514</v>
      </c>
      <c r="AI13" s="122">
        <f>1/6.5766</f>
        <v>0.15205425295745523</v>
      </c>
      <c r="AJ13" s="122">
        <f>1/6.521</f>
        <v>0.15335071308081583</v>
      </c>
      <c r="AK13" s="122">
        <f>1/6.3591</f>
        <v>0.157254957462534</v>
      </c>
      <c r="AL13" s="122">
        <f>1/6.0891</f>
        <v>0.1642278826099095</v>
      </c>
      <c r="AM13" s="122">
        <f>1/6.1177</f>
        <v>0.16346012390277392</v>
      </c>
      <c r="AN13" s="122">
        <f>1/6.2544</f>
        <v>0.15988743924277307</v>
      </c>
      <c r="AO13" s="122">
        <f>1/6.072</f>
        <v>0.16469038208168643</v>
      </c>
      <c r="AP13" s="122">
        <f>1/6.3199</f>
        <v>0.15823035174607195</v>
      </c>
      <c r="AQ13" s="122">
        <f>1/6.9549</f>
        <v>0.14378351953299112</v>
      </c>
      <c r="AR13" s="122">
        <f>1/7.0843</f>
        <v>0.14115720678119223</v>
      </c>
      <c r="AS13" s="122">
        <f>1/6.9553</f>
        <v>0.14377525052837403</v>
      </c>
      <c r="AT13" s="122">
        <f>1/7.4098</f>
        <v>0.1349564090798672</v>
      </c>
      <c r="AU13" s="122">
        <f>1/7.6492</f>
        <v>0.13073262563405322</v>
      </c>
      <c r="AV13" s="122">
        <f>1/7.2586</f>
        <v>0.1377676135893974</v>
      </c>
      <c r="AW13" s="122">
        <f>1/7.0406</f>
        <v>0.14203334943044627</v>
      </c>
      <c r="AX13" s="122">
        <f>1/7.1838</f>
        <v>0.13920209359948774</v>
      </c>
      <c r="AY13" s="122">
        <f>1/7.1698</f>
        <v>0.13947390443248067</v>
      </c>
      <c r="AZ13" s="122">
        <f>1/7.3514</f>
        <v>0.13602851157602633</v>
      </c>
      <c r="BA13" s="122">
        <f>1/7.1216</f>
        <v>0.14041788362165805</v>
      </c>
      <c r="BB13" s="122">
        <f>1/7.0187</f>
        <v>0.14247652699217803</v>
      </c>
      <c r="BC13" s="122">
        <f>1/7.1718</f>
        <v>0.13943500934214562</v>
      </c>
    </row>
    <row r="14" spans="2:55" ht="19.5" customHeight="1">
      <c r="B14" s="103" t="s">
        <v>33</v>
      </c>
      <c r="C14" s="104"/>
      <c r="D14" s="104"/>
      <c r="E14" s="104"/>
      <c r="F14" s="119"/>
      <c r="G14" s="119"/>
      <c r="H14" s="119"/>
      <c r="I14" s="106"/>
      <c r="J14" s="106"/>
      <c r="K14" s="106"/>
      <c r="L14" s="106"/>
      <c r="M14" s="107"/>
      <c r="N14" s="106"/>
      <c r="O14" s="108"/>
      <c r="P14" s="109"/>
      <c r="Q14" s="106"/>
      <c r="R14" s="109"/>
      <c r="S14" s="109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</row>
    <row r="15" spans="2:55" ht="19.5" customHeight="1">
      <c r="B15" s="103" t="s">
        <v>34</v>
      </c>
      <c r="C15" s="121"/>
      <c r="D15" s="121">
        <f>1/12.7437</f>
        <v>0.07847014603294176</v>
      </c>
      <c r="E15" s="121">
        <f>1/12.124</f>
        <v>0.08248102936324644</v>
      </c>
      <c r="F15" s="122">
        <f>1/12.4393</f>
        <v>0.08039037566422548</v>
      </c>
      <c r="G15" s="122">
        <f>1/13.1219</f>
        <v>0.07620847590669035</v>
      </c>
      <c r="H15" s="122">
        <f>1/12.26</f>
        <v>0.08156606851549755</v>
      </c>
      <c r="I15" s="122">
        <f>1/11.7868</f>
        <v>0.08484066922319884</v>
      </c>
      <c r="J15" s="122">
        <f>1/11.702</f>
        <v>0.08545547769612032</v>
      </c>
      <c r="K15" s="122">
        <f>1/11.6744</f>
        <v>0.08565750702391557</v>
      </c>
      <c r="L15" s="122">
        <f>1/11.3692</f>
        <v>0.08795693628399535</v>
      </c>
      <c r="M15" s="122">
        <f>1/11.3073</f>
        <v>0.08843844242215207</v>
      </c>
      <c r="N15" s="122">
        <f>1/12.5935</f>
        <v>0.07940604279985707</v>
      </c>
      <c r="O15" s="123">
        <f>1/12.6411</f>
        <v>0.07910703973546607</v>
      </c>
      <c r="P15" s="122">
        <f>1/12.1204</f>
        <v>0.08250552787036732</v>
      </c>
      <c r="Q15" s="122">
        <f>1/11.8224</f>
        <v>0.08458519420760591</v>
      </c>
      <c r="R15" s="122">
        <f>1/12.1262</f>
        <v>0.08246606521416437</v>
      </c>
      <c r="S15" s="122">
        <f>1/11.7619</f>
        <v>0.08502027733614466</v>
      </c>
      <c r="T15" s="122">
        <f>1/11.2923</f>
        <v>0.08855591863482197</v>
      </c>
      <c r="U15" s="122">
        <f>1/11.7446</f>
        <v>0.08514551368288405</v>
      </c>
      <c r="V15" s="122">
        <f>1/11.736</f>
        <v>0.08520790729379686</v>
      </c>
      <c r="W15" s="122">
        <f>1/11.5461</f>
        <v>0.08660933128935312</v>
      </c>
      <c r="X15" s="122">
        <f>1/11.2483</f>
        <v>0.08890232301770044</v>
      </c>
      <c r="Y15" s="122">
        <f>1/11.601</f>
        <v>0.0861994655633135</v>
      </c>
      <c r="Z15" s="122">
        <f>1/11.2168</f>
        <v>0.08915198630625491</v>
      </c>
      <c r="AA15" s="122">
        <f>1/11.3535</f>
        <v>0.08807856608094419</v>
      </c>
      <c r="AB15" s="122">
        <f>1/11.8847</f>
        <v>0.08414179575420498</v>
      </c>
      <c r="AC15" s="122">
        <f>1/11.6567</f>
        <v>0.08578757281220242</v>
      </c>
      <c r="AD15" s="122">
        <f>1/11.7446</f>
        <v>0.08514551368288405</v>
      </c>
      <c r="AE15" s="122">
        <f>1/12.282</f>
        <v>0.08141996417521576</v>
      </c>
      <c r="AF15" s="122">
        <f>1/11.7407</f>
        <v>0.08517379713304998</v>
      </c>
      <c r="AG15" s="122">
        <f>1/11.5992</f>
        <v>0.0862128422649838</v>
      </c>
      <c r="AH15" s="122">
        <f>1/11.4978</f>
        <v>0.08697316008279846</v>
      </c>
      <c r="AI15" s="122">
        <f>1/11.5989</f>
        <v>0.08621507211890782</v>
      </c>
      <c r="AJ15" s="122">
        <f>1/11.2213</f>
        <v>0.08911623430440324</v>
      </c>
      <c r="AK15" s="122">
        <f>1/11.1059</f>
        <v>0.0900422298057789</v>
      </c>
      <c r="AL15" s="122">
        <f>1/10.7529</f>
        <v>0.09299816793609166</v>
      </c>
      <c r="AM15" s="122">
        <f>1/10.6948</f>
        <v>0.09350338482253057</v>
      </c>
      <c r="AN15" s="122">
        <f>1/10.907</f>
        <v>0.09168423947923351</v>
      </c>
      <c r="AO15" s="122">
        <f>1/10.7206</f>
        <v>0.09327836128574894</v>
      </c>
      <c r="AP15" s="122">
        <f>1/11.806</f>
        <v>0.08470269354565475</v>
      </c>
      <c r="AQ15" s="122">
        <f>1/12.8291</f>
        <v>0.07794779056987629</v>
      </c>
      <c r="AR15" s="122">
        <f>1/13.0643</f>
        <v>0.07654447616787735</v>
      </c>
      <c r="AS15" s="122">
        <f>1/13.1608</f>
        <v>0.07598322290438271</v>
      </c>
      <c r="AT15" s="122">
        <f>1/13.9706</f>
        <v>0.07157888709146351</v>
      </c>
      <c r="AU15" s="122">
        <f>1/14.3415</f>
        <v>0.069727713279643</v>
      </c>
      <c r="AV15" s="122">
        <f>1/13.8728</f>
        <v>0.07208350152817024</v>
      </c>
      <c r="AW15" s="122">
        <f>1/13.8362</f>
        <v>0.07227417932669375</v>
      </c>
      <c r="AX15" s="122">
        <f>1/14.0828</f>
        <v>0.07100860624307666</v>
      </c>
      <c r="AY15" s="122">
        <f>1/14.0398</f>
        <v>0.07122608584167865</v>
      </c>
      <c r="AZ15" s="122">
        <f>1/14.3044</f>
        <v>0.06990855960403793</v>
      </c>
      <c r="BA15" s="122">
        <f>1/14.1669</f>
        <v>0.07058707268350874</v>
      </c>
      <c r="BB15" s="122">
        <f>1/13.9229</f>
        <v>0.07182411710204052</v>
      </c>
      <c r="BC15" s="122">
        <f>1/14.2416</f>
        <v>0.07021682956971127</v>
      </c>
    </row>
    <row r="16" spans="2:55" ht="19.5" customHeight="1">
      <c r="B16" s="103" t="s">
        <v>35</v>
      </c>
      <c r="C16" s="121"/>
      <c r="D16" s="121">
        <f>1/0.0679</f>
        <v>14.727540500736376</v>
      </c>
      <c r="E16" s="121">
        <f>1/0.0642</f>
        <v>15.576323987538942</v>
      </c>
      <c r="F16" s="122">
        <f>1/0.0654</f>
        <v>15.290519877675841</v>
      </c>
      <c r="G16" s="122">
        <f>1/0.0668</f>
        <v>14.970059880239521</v>
      </c>
      <c r="H16" s="122">
        <f>1/0.0636</f>
        <v>15.723270440251572</v>
      </c>
      <c r="I16" s="122">
        <f>1/0.0622</f>
        <v>16.077170418006432</v>
      </c>
      <c r="J16" s="122">
        <f>1/0.0636</f>
        <v>15.723270440251572</v>
      </c>
      <c r="K16" s="122">
        <f>1/0.0636</f>
        <v>15.723270440251572</v>
      </c>
      <c r="L16" s="122">
        <f>1/0.0616</f>
        <v>16.233766233766232</v>
      </c>
      <c r="M16" s="122">
        <f>1/0.0604</f>
        <v>16.556291390728475</v>
      </c>
      <c r="N16" s="122">
        <f>1/0.065</f>
        <v>15.384615384615383</v>
      </c>
      <c r="O16" s="123">
        <f>1/0.0695</f>
        <v>14.388489208633093</v>
      </c>
      <c r="P16" s="122">
        <f>1/0.0611</f>
        <v>16.366612111292962</v>
      </c>
      <c r="Q16" s="122">
        <f>1/0.061</f>
        <v>16.39344262295082</v>
      </c>
      <c r="R16" s="122">
        <f>1/0.0606</f>
        <v>16.5016501650165</v>
      </c>
      <c r="S16" s="122">
        <f>1/0.0588</f>
        <v>17.006802721088437</v>
      </c>
      <c r="T16" s="122">
        <f>1/0.0561</f>
        <v>17.825311942959004</v>
      </c>
      <c r="U16" s="122">
        <f>1/0.0505</f>
        <v>19.801980198019802</v>
      </c>
      <c r="V16" s="122">
        <f>1/0.0595</f>
        <v>16.80672268907563</v>
      </c>
      <c r="W16" s="122">
        <f>1/0.0587</f>
        <v>17.035775127768314</v>
      </c>
      <c r="X16" s="122">
        <f>1/0.0578</f>
        <v>17.301038062283737</v>
      </c>
      <c r="Y16" s="122">
        <f>1/0.052</f>
        <v>19.23076923076923</v>
      </c>
      <c r="Z16" s="122">
        <f>1/0.0578</f>
        <v>17.301038062283737</v>
      </c>
      <c r="AA16" s="122">
        <f>1/0.0574</f>
        <v>17.421602787456447</v>
      </c>
      <c r="AB16" s="122">
        <f>1/0.0572</f>
        <v>17.482517482517483</v>
      </c>
      <c r="AC16" s="122">
        <f>1/0.0572</f>
        <v>17.482517482517483</v>
      </c>
      <c r="AD16" s="122">
        <f>1/0.0594</f>
        <v>16.835016835016834</v>
      </c>
      <c r="AE16" s="122">
        <f>1/0.0621</f>
        <v>16.10305958132045</v>
      </c>
      <c r="AF16" s="122">
        <f>1/0.0599</f>
        <v>16.69449081803005</v>
      </c>
      <c r="AG16" s="122">
        <f>1/0.0585</f>
        <v>17.094017094017094</v>
      </c>
      <c r="AH16" s="122">
        <f>1/0.0573</f>
        <v>17.452006980802793</v>
      </c>
      <c r="AI16" s="122">
        <f>1/0.0573</f>
        <v>17.452006980802793</v>
      </c>
      <c r="AJ16" s="122">
        <f>1/0.0545</f>
        <v>18.34862385321101</v>
      </c>
      <c r="AK16" s="122">
        <f>1/0.0536</f>
        <v>18.65671641791045</v>
      </c>
      <c r="AL16" s="122">
        <f>1/0.0528</f>
        <v>18.93939393939394</v>
      </c>
      <c r="AM16" s="122">
        <f>1/0.0519</f>
        <v>19.267822736030826</v>
      </c>
      <c r="AN16" s="122">
        <f>1/0.0533</f>
        <v>18.76172607879925</v>
      </c>
      <c r="AO16" s="122">
        <f>1/0.0518</f>
        <v>19.305019305019304</v>
      </c>
      <c r="AP16" s="122">
        <f>1/0.0566</f>
        <v>17.6678445229682</v>
      </c>
      <c r="AQ16" s="122">
        <f>1/0.0607</f>
        <v>16.474464579901156</v>
      </c>
      <c r="AR16" s="122">
        <f>1/0.0613</f>
        <v>16.31321370309951</v>
      </c>
      <c r="AS16" s="122">
        <f>1/0.06</f>
        <v>16.666666666666668</v>
      </c>
      <c r="AT16" s="122">
        <f>1/0.0633</f>
        <v>15.797788309636653</v>
      </c>
      <c r="AU16" s="122">
        <f>1/0.0645</f>
        <v>15.503875968992247</v>
      </c>
      <c r="AV16" s="122">
        <f>1/0.0619</f>
        <v>16.155088852988694</v>
      </c>
      <c r="AW16" s="122">
        <f>1/0.0601</f>
        <v>16.638935108153078</v>
      </c>
      <c r="AX16" s="122">
        <f>1/0.0597</f>
        <v>16.75041876046901</v>
      </c>
      <c r="AY16" s="122">
        <f>1/0.0595</f>
        <v>16.80672268907563</v>
      </c>
      <c r="AZ16" s="122">
        <f>1/0.0627</f>
        <v>15.948963317384369</v>
      </c>
      <c r="BA16" s="122">
        <f>1/0.06</f>
        <v>16.666666666666668</v>
      </c>
      <c r="BB16" s="122">
        <f>1/0.0581</f>
        <v>17.21170395869191</v>
      </c>
      <c r="BC16" s="122">
        <f>1/0.0585</f>
        <v>17.094017094017094</v>
      </c>
    </row>
    <row r="17" spans="2:55" ht="19.5" customHeight="1">
      <c r="B17" s="103" t="s">
        <v>36</v>
      </c>
      <c r="C17" s="124"/>
      <c r="D17" s="124"/>
      <c r="E17" s="124"/>
      <c r="F17" s="106"/>
      <c r="G17" s="106"/>
      <c r="H17" s="106"/>
      <c r="I17" s="106"/>
      <c r="J17" s="106"/>
      <c r="K17" s="106"/>
      <c r="L17" s="106"/>
      <c r="M17" s="106"/>
      <c r="N17" s="106"/>
      <c r="O17" s="108"/>
      <c r="P17" s="109"/>
      <c r="Q17" s="106"/>
      <c r="R17" s="109"/>
      <c r="S17" s="109"/>
      <c r="T17" s="109"/>
      <c r="U17" s="109"/>
      <c r="V17" s="109"/>
      <c r="W17" s="109"/>
      <c r="X17" s="109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</row>
    <row r="18" spans="2:55" ht="19.5" customHeight="1">
      <c r="B18" s="97"/>
      <c r="C18" s="125"/>
      <c r="D18" s="125"/>
      <c r="E18" s="126"/>
      <c r="F18" s="98"/>
      <c r="G18" s="98"/>
      <c r="H18" s="98"/>
      <c r="I18" s="127"/>
      <c r="J18" s="127"/>
      <c r="K18" s="98"/>
      <c r="L18" s="98"/>
      <c r="M18" s="101"/>
      <c r="N18" s="127"/>
      <c r="O18" s="101"/>
      <c r="P18" s="99"/>
      <c r="Q18" s="98"/>
      <c r="R18" s="99"/>
      <c r="S18" s="99"/>
      <c r="T18" s="102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</row>
    <row r="19" spans="2:55" ht="19.5" customHeight="1">
      <c r="B19" s="97"/>
      <c r="C19" s="125"/>
      <c r="D19" s="125"/>
      <c r="E19" s="97"/>
      <c r="F19" s="98"/>
      <c r="G19" s="98"/>
      <c r="H19" s="98"/>
      <c r="I19" s="99"/>
      <c r="J19" s="99"/>
      <c r="K19" s="98"/>
      <c r="L19" s="98"/>
      <c r="M19" s="100"/>
      <c r="N19" s="99"/>
      <c r="O19" s="101"/>
      <c r="P19" s="99"/>
      <c r="Q19" s="98"/>
      <c r="R19" s="99"/>
      <c r="S19" s="99"/>
      <c r="T19" s="102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</row>
    <row r="20" spans="2:55" ht="19.5" customHeight="1">
      <c r="B20" s="128" t="s">
        <v>38</v>
      </c>
      <c r="C20" s="125"/>
      <c r="D20" s="125"/>
      <c r="E20" s="97"/>
      <c r="F20" s="98"/>
      <c r="G20" s="98"/>
      <c r="H20" s="98"/>
      <c r="I20" s="99"/>
      <c r="J20" s="99"/>
      <c r="K20" s="98"/>
      <c r="L20" s="98"/>
      <c r="M20" s="100"/>
      <c r="N20" s="99"/>
      <c r="O20" s="101"/>
      <c r="P20" s="99"/>
      <c r="Q20" s="98"/>
      <c r="R20" s="99"/>
      <c r="S20" s="99"/>
      <c r="T20" s="102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</row>
    <row r="21" spans="2:55" ht="19.5" customHeight="1" thickBot="1">
      <c r="B21" s="129" t="s">
        <v>37</v>
      </c>
      <c r="C21" s="130"/>
      <c r="D21" s="130"/>
      <c r="E21" s="131"/>
      <c r="F21" s="132"/>
      <c r="G21" s="132"/>
      <c r="H21" s="132"/>
      <c r="I21" s="133"/>
      <c r="J21" s="133"/>
      <c r="K21" s="132"/>
      <c r="L21" s="132"/>
      <c r="M21" s="134"/>
      <c r="N21" s="133"/>
      <c r="O21" s="135"/>
      <c r="P21" s="133"/>
      <c r="Q21" s="132"/>
      <c r="R21" s="133"/>
      <c r="S21" s="133"/>
      <c r="T21" s="136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ht="19.5" customHeight="1">
      <c r="B22" s="149" t="s">
        <v>151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3"/>
  <sheetViews>
    <sheetView showGridLines="0" zoomScale="75" zoomScaleNormal="75" zoomScaleSheetLayoutView="50" zoomScalePageLayoutView="0" workbookViewId="0" topLeftCell="A1">
      <selection activeCell="A4" sqref="A4:P68"/>
    </sheetView>
  </sheetViews>
  <sheetFormatPr defaultColWidth="9.140625" defaultRowHeight="12"/>
  <cols>
    <col min="11" max="11" width="8.7109375" style="0" customWidth="1"/>
  </cols>
  <sheetData>
    <row r="2" spans="1:15" ht="12.7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5.75">
      <c r="A4" s="189" t="s">
        <v>165</v>
      </c>
      <c r="B4" s="189"/>
      <c r="C4" s="189"/>
      <c r="D4" s="189"/>
      <c r="E4" s="189"/>
      <c r="F4" s="189"/>
      <c r="G4" s="189"/>
      <c r="H4" s="189"/>
      <c r="I4" s="189"/>
      <c r="J4" s="189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.75">
      <c r="A38" s="189" t="s">
        <v>160</v>
      </c>
      <c r="B38" s="189"/>
      <c r="C38" s="189"/>
      <c r="D38" s="189"/>
      <c r="E38" s="189"/>
      <c r="F38" s="189"/>
      <c r="G38" s="189"/>
      <c r="H38" s="189"/>
      <c r="I38" s="189"/>
      <c r="J38" s="189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I102"/>
  <sheetViews>
    <sheetView zoomScalePageLayoutView="0" workbookViewId="0" topLeftCell="A1">
      <selection activeCell="B77" sqref="B77:F100"/>
    </sheetView>
  </sheetViews>
  <sheetFormatPr defaultColWidth="9.140625" defaultRowHeight="12"/>
  <cols>
    <col min="2" max="2" width="49.421875" style="0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0" t="s">
        <v>92</v>
      </c>
      <c r="C2" s="190"/>
      <c r="D2" s="190"/>
      <c r="E2" s="190"/>
      <c r="F2" s="190"/>
    </row>
    <row r="3" spans="2:6" ht="11.25">
      <c r="B3" s="191" t="s">
        <v>100</v>
      </c>
      <c r="C3" s="191"/>
      <c r="D3" s="191"/>
      <c r="E3" s="191"/>
      <c r="F3" s="191"/>
    </row>
    <row r="4" spans="2:6" ht="11.25">
      <c r="B4" s="59"/>
      <c r="C4" s="60"/>
      <c r="D4" s="60"/>
      <c r="E4" s="58" t="s">
        <v>93</v>
      </c>
      <c r="F4" s="72" t="s">
        <v>110</v>
      </c>
    </row>
    <row r="5" spans="2:6" ht="11.25">
      <c r="B5" s="61"/>
      <c r="C5" s="62">
        <v>39200</v>
      </c>
      <c r="D5" s="62">
        <v>39232</v>
      </c>
      <c r="E5" s="63" t="s">
        <v>45</v>
      </c>
      <c r="F5" s="63" t="s">
        <v>45</v>
      </c>
    </row>
    <row r="6" spans="2:6" ht="11.25">
      <c r="B6" s="144" t="s">
        <v>59</v>
      </c>
      <c r="C6" s="47">
        <v>8679.17300307</v>
      </c>
      <c r="D6" s="47">
        <v>8064.888081970001</v>
      </c>
      <c r="E6" s="47">
        <v>-614.2849210999993</v>
      </c>
      <c r="F6" s="64">
        <v>-7.077689555015372</v>
      </c>
    </row>
    <row r="7" spans="2:6" ht="11.25">
      <c r="B7" s="144" t="s">
        <v>60</v>
      </c>
      <c r="C7" s="47">
        <v>6658.54197853</v>
      </c>
      <c r="D7" s="47">
        <v>6054.55986249</v>
      </c>
      <c r="E7" s="47">
        <v>-603.9821160399997</v>
      </c>
      <c r="F7" s="64">
        <v>-9.070786337121513</v>
      </c>
    </row>
    <row r="8" spans="2:6" ht="11.25">
      <c r="B8" s="145" t="s">
        <v>61</v>
      </c>
      <c r="C8" s="13">
        <v>6455.064057070001</v>
      </c>
      <c r="D8" s="13">
        <v>5896.59835284</v>
      </c>
      <c r="E8" s="13">
        <v>-558.4657042300005</v>
      </c>
      <c r="F8" s="171">
        <v>-8.65159043028137</v>
      </c>
    </row>
    <row r="9" spans="2:6" ht="11.25">
      <c r="B9" s="145" t="s">
        <v>62</v>
      </c>
      <c r="C9" s="13">
        <v>3E-08</v>
      </c>
      <c r="D9" s="13">
        <v>2E-08</v>
      </c>
      <c r="E9" s="13">
        <v>-9.999999999999997E-09</v>
      </c>
      <c r="F9" s="171">
        <v>0</v>
      </c>
    </row>
    <row r="10" spans="2:6" ht="11.25">
      <c r="B10" s="145" t="s">
        <v>63</v>
      </c>
      <c r="C10" s="13">
        <v>203.47792143000004</v>
      </c>
      <c r="D10" s="13">
        <v>157.96150963000002</v>
      </c>
      <c r="E10" s="13">
        <v>-45.516411800000014</v>
      </c>
      <c r="F10" s="171">
        <v>-22.369214055323667</v>
      </c>
    </row>
    <row r="11" spans="2:6" ht="11.25">
      <c r="B11" s="144" t="s">
        <v>64</v>
      </c>
      <c r="C11" s="47">
        <v>2020.6310245400002</v>
      </c>
      <c r="D11" s="47">
        <v>2010.3282194800001</v>
      </c>
      <c r="E11" s="47">
        <v>-10.302805060000082</v>
      </c>
      <c r="F11" s="64">
        <v>-0.5098805736859123</v>
      </c>
    </row>
    <row r="12" spans="2:6" ht="11.25">
      <c r="B12" s="145" t="s">
        <v>142</v>
      </c>
      <c r="C12" s="13">
        <v>2004.5870999300002</v>
      </c>
      <c r="D12" s="13">
        <v>1994.33168148</v>
      </c>
      <c r="E12" s="13">
        <v>-10.255418450000207</v>
      </c>
      <c r="F12" s="171">
        <v>-0.5115975479617885</v>
      </c>
    </row>
    <row r="13" spans="2:6" ht="11.25">
      <c r="B13" s="145" t="s">
        <v>94</v>
      </c>
      <c r="C13" s="13">
        <v>0</v>
      </c>
      <c r="D13" s="13">
        <v>0</v>
      </c>
      <c r="E13" s="13">
        <v>0</v>
      </c>
      <c r="F13" s="171">
        <v>0</v>
      </c>
    </row>
    <row r="14" spans="2:6" ht="11.25">
      <c r="B14" s="145" t="s">
        <v>65</v>
      </c>
      <c r="C14" s="13">
        <v>16.04392461</v>
      </c>
      <c r="D14" s="13">
        <v>15.996538000000001</v>
      </c>
      <c r="E14" s="13">
        <v>-0.04738661000000022</v>
      </c>
      <c r="F14" s="171">
        <v>-0.2953554766173899</v>
      </c>
    </row>
    <row r="15" spans="2:6" ht="11.25">
      <c r="B15" s="146"/>
      <c r="C15" s="47"/>
      <c r="D15" s="47"/>
      <c r="E15" s="47"/>
      <c r="F15" s="64"/>
    </row>
    <row r="16" spans="2:6" ht="11.25">
      <c r="B16" s="144" t="s">
        <v>66</v>
      </c>
      <c r="C16" s="47">
        <v>8679.209758949999</v>
      </c>
      <c r="D16" s="47">
        <v>8064.902509209997</v>
      </c>
      <c r="E16" s="47">
        <v>-614.3072497400017</v>
      </c>
      <c r="F16" s="64">
        <v>-7.0779168472858744</v>
      </c>
    </row>
    <row r="17" spans="2:6" ht="11.25">
      <c r="B17" s="144" t="s">
        <v>67</v>
      </c>
      <c r="C17" s="47">
        <v>1421.4797111699997</v>
      </c>
      <c r="D17" s="47">
        <v>1566.4776788699985</v>
      </c>
      <c r="E17" s="47">
        <v>144.99796769999875</v>
      </c>
      <c r="F17" s="64">
        <v>10.200495058818179</v>
      </c>
    </row>
    <row r="18" spans="2:6" ht="11.25">
      <c r="B18" s="145" t="s">
        <v>68</v>
      </c>
      <c r="C18" s="13">
        <v>1082.198713</v>
      </c>
      <c r="D18" s="13">
        <v>1085.312746</v>
      </c>
      <c r="E18" s="13">
        <v>3.114033000000063</v>
      </c>
      <c r="F18" s="171">
        <v>0.2877505732165903</v>
      </c>
    </row>
    <row r="19" spans="2:6" ht="11.25">
      <c r="B19" s="145" t="s">
        <v>69</v>
      </c>
      <c r="C19" s="13">
        <v>339.28099816999975</v>
      </c>
      <c r="D19" s="13">
        <v>481.1649328699985</v>
      </c>
      <c r="E19" s="13">
        <v>141.88393469999875</v>
      </c>
      <c r="F19" s="171">
        <v>41.819004148563174</v>
      </c>
    </row>
    <row r="20" spans="2:6" ht="11.25">
      <c r="B20" s="144" t="s">
        <v>143</v>
      </c>
      <c r="C20" s="47">
        <v>7009.7560794599995</v>
      </c>
      <c r="D20" s="47">
        <v>6238.709629999999</v>
      </c>
      <c r="E20" s="47">
        <v>-771.0464494600001</v>
      </c>
      <c r="F20" s="64">
        <v>-10.999618827241676</v>
      </c>
    </row>
    <row r="21" spans="2:6" ht="11.25">
      <c r="B21" s="145" t="s">
        <v>95</v>
      </c>
      <c r="C21" s="13">
        <v>5885.478572059999</v>
      </c>
      <c r="D21" s="13">
        <v>5141.718941149999</v>
      </c>
      <c r="E21" s="13">
        <v>-743.7596309099999</v>
      </c>
      <c r="F21" s="171">
        <v>-12.637198858234457</v>
      </c>
    </row>
    <row r="22" spans="2:6" ht="11.25">
      <c r="B22" s="147" t="s">
        <v>70</v>
      </c>
      <c r="C22" s="13">
        <v>1124.2775074</v>
      </c>
      <c r="D22" s="13">
        <v>1096.99068885</v>
      </c>
      <c r="E22" s="13">
        <v>-27.286818550000135</v>
      </c>
      <c r="F22" s="171">
        <v>-2.427053674061623</v>
      </c>
    </row>
    <row r="23" spans="2:6" ht="11.25">
      <c r="B23" s="89" t="s">
        <v>0</v>
      </c>
      <c r="C23" s="13">
        <v>11.747864840000002</v>
      </c>
      <c r="D23" s="13">
        <v>9.116596419999999</v>
      </c>
      <c r="E23" s="13">
        <v>-2.631268420000003</v>
      </c>
      <c r="F23" s="171">
        <v>-22.397843828104534</v>
      </c>
    </row>
    <row r="24" spans="2:6" ht="11.25">
      <c r="B24" s="89" t="s">
        <v>145</v>
      </c>
      <c r="C24" s="13">
        <v>398.42401149</v>
      </c>
      <c r="D24" s="13">
        <v>410.76616795</v>
      </c>
      <c r="E24" s="13">
        <v>12.342156460000012</v>
      </c>
      <c r="F24" s="171">
        <v>3.0977441379207105</v>
      </c>
    </row>
    <row r="25" spans="2:6" ht="11.25">
      <c r="B25" s="88" t="s">
        <v>128</v>
      </c>
      <c r="C25" s="47">
        <v>-162.19790800999996</v>
      </c>
      <c r="D25" s="47">
        <v>-160.16756403000002</v>
      </c>
      <c r="E25" s="47">
        <v>2.030343979999941</v>
      </c>
      <c r="F25" s="64">
        <v>-1.2517695233620179</v>
      </c>
    </row>
    <row r="26" spans="2:6" ht="12" customHeight="1" hidden="1" thickBot="1">
      <c r="B26" s="148" t="s">
        <v>89</v>
      </c>
      <c r="C26" s="170">
        <v>-0.03675587999896379</v>
      </c>
      <c r="D26" s="170">
        <v>-0.01442723999662121</v>
      </c>
      <c r="E26" s="170">
        <v>0.02232864000234258</v>
      </c>
      <c r="F26" s="170">
        <v>0.00022729227050266587</v>
      </c>
    </row>
    <row r="27" spans="2:6" ht="11.25">
      <c r="B27" s="66"/>
      <c r="C27" s="67"/>
      <c r="D27" s="67"/>
      <c r="E27" s="67"/>
      <c r="F27" s="68"/>
    </row>
    <row r="28" spans="2:6" ht="11.25">
      <c r="B28" s="66"/>
      <c r="C28" s="67"/>
      <c r="D28" s="67"/>
      <c r="E28" s="67"/>
      <c r="F28" s="68"/>
    </row>
    <row r="29" spans="2:6" ht="12" thickBot="1">
      <c r="B29" s="66"/>
      <c r="C29" s="67"/>
      <c r="D29" s="67"/>
      <c r="E29" s="67"/>
      <c r="F29" s="68"/>
    </row>
    <row r="30" spans="2:6" ht="11.25">
      <c r="B30" s="190" t="s">
        <v>92</v>
      </c>
      <c r="C30" s="190"/>
      <c r="D30" s="190"/>
      <c r="E30" s="190"/>
      <c r="F30" s="190"/>
    </row>
    <row r="31" spans="2:6" ht="11.25">
      <c r="B31" s="191" t="s">
        <v>71</v>
      </c>
      <c r="C31" s="191"/>
      <c r="D31" s="191"/>
      <c r="E31" s="191"/>
      <c r="F31" s="191"/>
    </row>
    <row r="32" spans="2:6" ht="11.25">
      <c r="B32" s="59"/>
      <c r="C32" s="59"/>
      <c r="D32" s="60"/>
      <c r="E32" s="58" t="s">
        <v>93</v>
      </c>
      <c r="F32" s="72" t="s">
        <v>110</v>
      </c>
    </row>
    <row r="33" spans="2:6" ht="11.25">
      <c r="B33" s="61"/>
      <c r="C33" s="62">
        <v>39200</v>
      </c>
      <c r="D33" s="62">
        <v>39232</v>
      </c>
      <c r="E33" s="63" t="s">
        <v>45</v>
      </c>
      <c r="F33" s="63" t="s">
        <v>45</v>
      </c>
    </row>
    <row r="34" spans="2:6" ht="11.25">
      <c r="B34" s="47" t="s">
        <v>59</v>
      </c>
      <c r="C34" s="47">
        <v>38748.42723940932</v>
      </c>
      <c r="D34" s="47">
        <v>39231.122664362054</v>
      </c>
      <c r="E34" s="47">
        <v>482.69542495273345</v>
      </c>
      <c r="F34" s="64">
        <v>1.2457161731245834</v>
      </c>
    </row>
    <row r="35" spans="2:6" ht="11.25">
      <c r="B35" s="47" t="s">
        <v>60</v>
      </c>
      <c r="C35" s="47">
        <v>3096.4244500138975</v>
      </c>
      <c r="D35" s="47">
        <v>3225.8464610130036</v>
      </c>
      <c r="E35" s="47">
        <v>129.42201099910608</v>
      </c>
      <c r="F35" s="64">
        <v>4.17972448830538</v>
      </c>
    </row>
    <row r="36" spans="2:6" ht="11.25">
      <c r="B36" s="65" t="s">
        <v>72</v>
      </c>
      <c r="C36" s="13">
        <v>68.18990099999999</v>
      </c>
      <c r="D36" s="13">
        <v>57.44191</v>
      </c>
      <c r="E36" s="13">
        <v>-10.747990999999992</v>
      </c>
      <c r="F36" s="171">
        <v>-15.76185159735016</v>
      </c>
    </row>
    <row r="37" spans="2:6" ht="11.25">
      <c r="B37" s="65" t="s">
        <v>61</v>
      </c>
      <c r="C37" s="13">
        <v>2985.2505490138974</v>
      </c>
      <c r="D37" s="13">
        <v>3124.1905510130036</v>
      </c>
      <c r="E37" s="13">
        <v>138.94000199910624</v>
      </c>
      <c r="F37" s="171">
        <v>4.654215775791469</v>
      </c>
    </row>
    <row r="38" spans="2:6" ht="11.25">
      <c r="B38" s="65" t="s">
        <v>73</v>
      </c>
      <c r="C38" s="13">
        <v>42.984</v>
      </c>
      <c r="D38" s="13">
        <v>44.214</v>
      </c>
      <c r="E38" s="13">
        <v>1.23</v>
      </c>
      <c r="F38" s="171">
        <v>2.8615298715801156</v>
      </c>
    </row>
    <row r="39" spans="2:6" ht="11.25">
      <c r="B39" s="65" t="s">
        <v>74</v>
      </c>
      <c r="C39" s="13">
        <v>0</v>
      </c>
      <c r="D39" s="13">
        <v>0</v>
      </c>
      <c r="E39" s="13">
        <v>0</v>
      </c>
      <c r="F39" s="171">
        <v>0</v>
      </c>
    </row>
    <row r="40" spans="2:6" ht="11.25">
      <c r="B40" s="47" t="s">
        <v>64</v>
      </c>
      <c r="C40" s="47">
        <v>33770.36613694001</v>
      </c>
      <c r="D40" s="47">
        <v>34123.96011093</v>
      </c>
      <c r="E40" s="47">
        <v>353.59397398999135</v>
      </c>
      <c r="F40" s="64">
        <v>1.0470540134393436</v>
      </c>
    </row>
    <row r="41" spans="2:6" ht="11.25">
      <c r="B41" s="65" t="s">
        <v>96</v>
      </c>
      <c r="C41" s="13">
        <v>646.5492099699999</v>
      </c>
      <c r="D41" s="13">
        <v>782.05708441</v>
      </c>
      <c r="E41" s="13">
        <v>135.50787444000014</v>
      </c>
      <c r="F41" s="171">
        <v>20.95863274603456</v>
      </c>
    </row>
    <row r="42" spans="2:6" ht="11.25">
      <c r="B42" s="65" t="s">
        <v>94</v>
      </c>
      <c r="C42" s="13">
        <v>3099.42885219</v>
      </c>
      <c r="D42" s="13">
        <v>3012.08193371</v>
      </c>
      <c r="E42" s="13">
        <v>-87.34691847999966</v>
      </c>
      <c r="F42" s="171">
        <v>-2.8181617531979133</v>
      </c>
    </row>
    <row r="43" spans="2:6" ht="11.25">
      <c r="B43" s="65" t="s">
        <v>52</v>
      </c>
      <c r="C43" s="13">
        <v>942.425</v>
      </c>
      <c r="D43" s="13">
        <v>1196.251</v>
      </c>
      <c r="E43" s="13">
        <v>253.82600000000002</v>
      </c>
      <c r="F43" s="171">
        <v>26.933283815688252</v>
      </c>
    </row>
    <row r="44" spans="2:6" ht="11.25">
      <c r="B44" s="65" t="s">
        <v>97</v>
      </c>
      <c r="C44" s="13">
        <v>29.157</v>
      </c>
      <c r="D44" s="13">
        <v>41.643</v>
      </c>
      <c r="E44" s="13">
        <v>12.486</v>
      </c>
      <c r="F44" s="171">
        <v>42.823335734129024</v>
      </c>
    </row>
    <row r="45" spans="2:6" ht="11.25">
      <c r="B45" s="65" t="s">
        <v>107</v>
      </c>
      <c r="C45" s="13">
        <v>294.223</v>
      </c>
      <c r="D45" s="13">
        <v>322.858</v>
      </c>
      <c r="E45" s="13">
        <v>28.635</v>
      </c>
      <c r="F45" s="171">
        <v>9.732413849359157</v>
      </c>
    </row>
    <row r="46" spans="2:6" ht="11.25">
      <c r="B46" s="65" t="s">
        <v>75</v>
      </c>
      <c r="C46" s="13">
        <v>9953.50255312</v>
      </c>
      <c r="D46" s="13">
        <v>9666.327373450002</v>
      </c>
      <c r="E46" s="13">
        <v>-287.1751796699991</v>
      </c>
      <c r="F46" s="171">
        <v>-2.8851670870369337</v>
      </c>
    </row>
    <row r="47" spans="2:6" ht="11.25">
      <c r="B47" s="65" t="s">
        <v>53</v>
      </c>
      <c r="C47" s="13">
        <v>18805.080521660002</v>
      </c>
      <c r="D47" s="13">
        <v>19102.741719359998</v>
      </c>
      <c r="E47" s="13">
        <v>297.6611976999957</v>
      </c>
      <c r="F47" s="171">
        <v>1.5828764857302506</v>
      </c>
    </row>
    <row r="48" spans="2:6" ht="11.25">
      <c r="B48" s="69" t="s">
        <v>76</v>
      </c>
      <c r="C48" s="47">
        <v>1881.6366524554178</v>
      </c>
      <c r="D48" s="47">
        <v>1881.316092419052</v>
      </c>
      <c r="E48" s="47">
        <v>-0.320560036365805</v>
      </c>
      <c r="F48" s="64">
        <v>-0.017036234702778257</v>
      </c>
    </row>
    <row r="49" spans="2:6" ht="11.25">
      <c r="B49" s="70"/>
      <c r="C49" s="47"/>
      <c r="D49" s="47"/>
      <c r="E49" s="47"/>
      <c r="F49" s="171"/>
    </row>
    <row r="50" spans="2:6" ht="11.25">
      <c r="B50" s="47" t="s">
        <v>66</v>
      </c>
      <c r="C50" s="47">
        <v>38748.426971109184</v>
      </c>
      <c r="D50" s="47">
        <v>39231.12259078424</v>
      </c>
      <c r="E50" s="47">
        <v>482.69561967505433</v>
      </c>
      <c r="F50" s="64">
        <v>1.245716684279731</v>
      </c>
    </row>
    <row r="51" spans="2:6" ht="11.25">
      <c r="B51" s="69" t="s">
        <v>77</v>
      </c>
      <c r="C51" s="47">
        <v>941.3485744000002</v>
      </c>
      <c r="D51" s="47">
        <v>846.60361591</v>
      </c>
      <c r="E51" s="47">
        <v>-94.74495849000016</v>
      </c>
      <c r="F51" s="64">
        <v>-10.064811385133186</v>
      </c>
    </row>
    <row r="52" spans="2:6" ht="11.25">
      <c r="B52" s="65" t="s">
        <v>61</v>
      </c>
      <c r="C52" s="13">
        <v>270.79155349999996</v>
      </c>
      <c r="D52" s="13">
        <v>184.94091784000003</v>
      </c>
      <c r="E52" s="13">
        <v>-85.85063565999994</v>
      </c>
      <c r="F52" s="171">
        <v>-31.703586965831988</v>
      </c>
    </row>
    <row r="53" spans="2:6" ht="11.25">
      <c r="B53" s="65" t="s">
        <v>129</v>
      </c>
      <c r="C53" s="13">
        <v>457.874</v>
      </c>
      <c r="D53" s="13">
        <v>459.903</v>
      </c>
      <c r="E53" s="13">
        <v>2.0289999999999964</v>
      </c>
      <c r="F53" s="171">
        <v>0.443135010941874</v>
      </c>
    </row>
    <row r="54" spans="2:6" ht="11.25">
      <c r="B54" s="65" t="s">
        <v>73</v>
      </c>
      <c r="C54" s="13">
        <v>212.68302090000014</v>
      </c>
      <c r="D54" s="13">
        <v>201.75969806999998</v>
      </c>
      <c r="E54" s="13">
        <v>-10.92332283000016</v>
      </c>
      <c r="F54" s="171">
        <v>-5.135963737855744</v>
      </c>
    </row>
    <row r="55" spans="2:6" ht="11.25">
      <c r="B55" s="65" t="s">
        <v>78</v>
      </c>
      <c r="C55" s="13">
        <v>0</v>
      </c>
      <c r="D55" s="13">
        <v>0</v>
      </c>
      <c r="E55" s="13">
        <v>0</v>
      </c>
      <c r="F55" s="171">
        <v>0</v>
      </c>
    </row>
    <row r="56" spans="2:6" ht="11.25">
      <c r="B56" s="47" t="s">
        <v>79</v>
      </c>
      <c r="C56" s="47">
        <v>37807.078396709185</v>
      </c>
      <c r="D56" s="47">
        <v>38384.51897487424</v>
      </c>
      <c r="E56" s="47">
        <v>577.4405781650566</v>
      </c>
      <c r="F56" s="64">
        <v>1.52733456974903</v>
      </c>
    </row>
    <row r="57" spans="2:6" ht="11.25">
      <c r="B57" s="65" t="s">
        <v>80</v>
      </c>
      <c r="C57" s="13">
        <v>22318.854164670003</v>
      </c>
      <c r="D57" s="13">
        <v>22709.240461460002</v>
      </c>
      <c r="E57" s="13">
        <v>390.3862967899986</v>
      </c>
      <c r="F57" s="171">
        <v>1.7491323430392183</v>
      </c>
    </row>
    <row r="58" spans="2:6" ht="11.25">
      <c r="B58" s="71" t="s">
        <v>81</v>
      </c>
      <c r="C58" s="13">
        <v>14125.890436220001</v>
      </c>
      <c r="D58" s="13">
        <v>14147.19360833</v>
      </c>
      <c r="E58" s="13">
        <v>21.30317210999965</v>
      </c>
      <c r="F58" s="171">
        <v>0.15080941060803132</v>
      </c>
    </row>
    <row r="59" spans="2:6" ht="11.25">
      <c r="B59" s="71" t="s">
        <v>78</v>
      </c>
      <c r="C59" s="13">
        <v>8192.96372845</v>
      </c>
      <c r="D59" s="13">
        <v>8562.04685313</v>
      </c>
      <c r="E59" s="13">
        <v>369.08312467999895</v>
      </c>
      <c r="F59" s="171">
        <v>4.504879270957356</v>
      </c>
    </row>
    <row r="60" spans="2:6" ht="11.25">
      <c r="B60" s="65" t="s">
        <v>158</v>
      </c>
      <c r="C60" s="13">
        <v>1499.19393017</v>
      </c>
      <c r="D60" s="13">
        <v>1335.23402515</v>
      </c>
      <c r="E60" s="13">
        <v>-163.95990501999995</v>
      </c>
      <c r="F60" s="171">
        <v>-10.936537409900522</v>
      </c>
    </row>
    <row r="61" spans="2:6" ht="11.25">
      <c r="B61" s="65" t="s">
        <v>130</v>
      </c>
      <c r="C61" s="13">
        <v>5.94775818</v>
      </c>
      <c r="D61" s="13">
        <v>5.868</v>
      </c>
      <c r="E61" s="13">
        <v>-0.07975817999999979</v>
      </c>
      <c r="F61" s="171">
        <v>-1.340978862728407</v>
      </c>
    </row>
    <row r="62" spans="2:6" ht="11.25">
      <c r="B62" s="65" t="s">
        <v>131</v>
      </c>
      <c r="C62" s="13">
        <v>5061.892671369863</v>
      </c>
      <c r="D62" s="13">
        <v>4938.110378082192</v>
      </c>
      <c r="E62" s="13">
        <v>-123.78229328767065</v>
      </c>
      <c r="F62" s="171">
        <v>-2.4453756988524287</v>
      </c>
    </row>
    <row r="63" spans="2:6" ht="11.25">
      <c r="B63" s="65" t="s">
        <v>132</v>
      </c>
      <c r="C63" s="13">
        <v>629.09808581</v>
      </c>
      <c r="D63" s="13">
        <v>605.8547421200001</v>
      </c>
      <c r="E63" s="13">
        <v>-23.24334368999996</v>
      </c>
      <c r="F63" s="171">
        <v>-3.6947090150612705</v>
      </c>
    </row>
    <row r="64" spans="2:6" ht="11.25">
      <c r="B64" s="65" t="s">
        <v>133</v>
      </c>
      <c r="C64" s="13">
        <v>2008.09740571</v>
      </c>
      <c r="D64" s="13">
        <v>2000.7868631</v>
      </c>
      <c r="E64" s="13">
        <v>-7.310542610000084</v>
      </c>
      <c r="F64" s="171">
        <v>-0.3640531873211253</v>
      </c>
    </row>
    <row r="65" spans="2:6" ht="11.25">
      <c r="B65" s="65" t="s">
        <v>73</v>
      </c>
      <c r="C65" s="13">
        <v>5.345</v>
      </c>
      <c r="D65" s="13">
        <v>5.345</v>
      </c>
      <c r="E65" s="13">
        <v>0</v>
      </c>
      <c r="F65" s="171">
        <v>0</v>
      </c>
    </row>
    <row r="66" spans="2:6" ht="11.25">
      <c r="B66" s="65" t="s">
        <v>98</v>
      </c>
      <c r="C66" s="13">
        <v>0</v>
      </c>
      <c r="D66" s="13">
        <v>0</v>
      </c>
      <c r="E66" s="13">
        <v>0</v>
      </c>
      <c r="F66" s="171">
        <v>0</v>
      </c>
    </row>
    <row r="67" spans="2:6" ht="11.25">
      <c r="B67" s="65" t="s">
        <v>82</v>
      </c>
      <c r="C67" s="13">
        <v>4250.67029537</v>
      </c>
      <c r="D67" s="13">
        <v>4570.55240914</v>
      </c>
      <c r="E67" s="13">
        <v>319.8821137700006</v>
      </c>
      <c r="F67" s="171">
        <v>7.525451082819315</v>
      </c>
    </row>
    <row r="68" spans="2:6" ht="11.25">
      <c r="B68" s="65" t="s">
        <v>134</v>
      </c>
      <c r="C68" s="13">
        <v>2032.2947935199998</v>
      </c>
      <c r="D68" s="13">
        <v>2217.4354358299997</v>
      </c>
      <c r="E68" s="13">
        <v>185.14064230999998</v>
      </c>
      <c r="F68" s="171">
        <v>9.109930454003203</v>
      </c>
    </row>
    <row r="69" spans="2:6" ht="11.25">
      <c r="B69" s="65" t="s">
        <v>135</v>
      </c>
      <c r="C69" s="13">
        <v>-4.315708090684836</v>
      </c>
      <c r="D69" s="13">
        <v>-3.9083400079452133</v>
      </c>
      <c r="E69" s="13">
        <v>0.4073680827396231</v>
      </c>
      <c r="F69" s="171">
        <v>-9.439194546519483</v>
      </c>
    </row>
    <row r="70" spans="2:6" ht="12" customHeight="1" hidden="1" thickBot="1">
      <c r="B70" s="65" t="s">
        <v>135</v>
      </c>
      <c r="C70" s="13"/>
      <c r="D70" s="13"/>
      <c r="E70" s="13"/>
      <c r="F70" s="13"/>
    </row>
    <row r="71" spans="2:6" ht="12" customHeight="1" hidden="1">
      <c r="B71" s="13"/>
      <c r="C71" s="50">
        <v>-0.00026830013666767627</v>
      </c>
      <c r="D71" s="50">
        <v>-0.00026830013666767627</v>
      </c>
      <c r="E71" s="50">
        <v>-0.0004651664348784834</v>
      </c>
      <c r="F71" s="50">
        <v>-1.2624493881396859E-06</v>
      </c>
    </row>
    <row r="72" spans="2:6" ht="12" customHeight="1">
      <c r="B72" s="13"/>
      <c r="C72" s="88"/>
      <c r="D72" s="88"/>
      <c r="E72" s="47"/>
      <c r="F72" s="47"/>
    </row>
    <row r="73" spans="2:6" ht="12" customHeight="1">
      <c r="B73" s="65"/>
      <c r="C73" s="88"/>
      <c r="D73" s="88"/>
      <c r="E73" s="47"/>
      <c r="F73" s="47"/>
    </row>
    <row r="74" ht="11.25">
      <c r="B74" s="87"/>
    </row>
    <row r="75" ht="11.25">
      <c r="B75" s="83"/>
    </row>
    <row r="76" ht="12" thickBot="1">
      <c r="B76" s="83"/>
    </row>
    <row r="77" spans="2:6" ht="11.25">
      <c r="B77" s="190" t="s">
        <v>150</v>
      </c>
      <c r="C77" s="190"/>
      <c r="D77" s="190"/>
      <c r="E77" s="190"/>
      <c r="F77" s="190"/>
    </row>
    <row r="78" spans="2:6" ht="11.25">
      <c r="B78" s="191" t="s">
        <v>91</v>
      </c>
      <c r="C78" s="191"/>
      <c r="D78" s="191"/>
      <c r="E78" s="191"/>
      <c r="F78" s="191"/>
    </row>
    <row r="79" spans="2:6" ht="11.25">
      <c r="B79" s="59"/>
      <c r="C79" s="60"/>
      <c r="D79" s="60"/>
      <c r="E79" s="58" t="s">
        <v>93</v>
      </c>
      <c r="F79" s="72" t="s">
        <v>110</v>
      </c>
    </row>
    <row r="80" spans="2:6" ht="11.25">
      <c r="B80" s="61"/>
      <c r="C80" s="62">
        <v>39200</v>
      </c>
      <c r="D80" s="62">
        <v>39232</v>
      </c>
      <c r="E80" s="63" t="s">
        <v>45</v>
      </c>
      <c r="F80" s="63" t="s">
        <v>45</v>
      </c>
    </row>
    <row r="81" spans="2:9" ht="11.25">
      <c r="B81" s="46" t="s">
        <v>59</v>
      </c>
      <c r="C81" s="47">
        <v>37126.98198181932</v>
      </c>
      <c r="D81" s="47">
        <v>37724.503306782055</v>
      </c>
      <c r="E81" s="47">
        <v>597.5213249627341</v>
      </c>
      <c r="F81" s="64">
        <v>1.6093991298709218</v>
      </c>
      <c r="G81" s="85"/>
      <c r="H81" s="85"/>
      <c r="I81" s="84"/>
    </row>
    <row r="82" spans="2:9" ht="11.25">
      <c r="B82" s="46" t="s">
        <v>1</v>
      </c>
      <c r="C82" s="47">
        <v>8415.193842653898</v>
      </c>
      <c r="D82" s="47">
        <v>8023.0365396430025</v>
      </c>
      <c r="E82" s="47">
        <v>-392.1573030108957</v>
      </c>
      <c r="F82" s="64">
        <v>-4.660110157215596</v>
      </c>
      <c r="G82" s="85"/>
      <c r="H82" s="85"/>
      <c r="I82" s="84"/>
    </row>
    <row r="83" spans="2:8" ht="11.25">
      <c r="B83" s="46" t="s">
        <v>83</v>
      </c>
      <c r="C83" s="47">
        <v>26625.284193710002</v>
      </c>
      <c r="D83" s="47">
        <v>27610.325881250003</v>
      </c>
      <c r="E83" s="47">
        <v>985.0416875400006</v>
      </c>
      <c r="F83" s="64">
        <v>3.6996475995276263</v>
      </c>
      <c r="G83" s="86"/>
      <c r="H83" s="86"/>
    </row>
    <row r="84" spans="2:8" ht="11.25">
      <c r="B84" s="48" t="s">
        <v>136</v>
      </c>
      <c r="C84" s="13">
        <v>-3415.1478056799997</v>
      </c>
      <c r="D84" s="13">
        <v>-2735.4917495599993</v>
      </c>
      <c r="E84" s="13">
        <v>679.6560561200004</v>
      </c>
      <c r="F84" s="171">
        <v>-19.90121935541446</v>
      </c>
      <c r="G84" s="86"/>
      <c r="H84" s="86"/>
    </row>
    <row r="85" spans="2:8" ht="11.25">
      <c r="B85" s="48" t="s">
        <v>84</v>
      </c>
      <c r="C85" s="13">
        <v>30040.431999390003</v>
      </c>
      <c r="D85" s="13">
        <v>30345.81763081</v>
      </c>
      <c r="E85" s="13">
        <v>305.3856314199984</v>
      </c>
      <c r="F85" s="171">
        <v>1.016582023275163</v>
      </c>
      <c r="G85" s="86"/>
      <c r="H85" s="86"/>
    </row>
    <row r="86" spans="2:8" ht="11.25">
      <c r="B86" s="141" t="s">
        <v>137</v>
      </c>
      <c r="C86" s="13">
        <v>942.425</v>
      </c>
      <c r="D86" s="13">
        <v>1196.251</v>
      </c>
      <c r="E86" s="13">
        <v>253.82600000000002</v>
      </c>
      <c r="F86" s="171">
        <v>26.933283815688252</v>
      </c>
      <c r="G86" s="86"/>
      <c r="H86" s="86"/>
    </row>
    <row r="87" spans="2:8" ht="11.25">
      <c r="B87" s="141" t="s">
        <v>138</v>
      </c>
      <c r="C87" s="13">
        <v>29.157</v>
      </c>
      <c r="D87" s="13">
        <v>41.643</v>
      </c>
      <c r="E87" s="13">
        <v>12.486</v>
      </c>
      <c r="F87" s="171">
        <v>42.823335734129024</v>
      </c>
      <c r="G87" s="86"/>
      <c r="H87" s="86"/>
    </row>
    <row r="88" spans="2:8" ht="11.25">
      <c r="B88" s="141" t="s">
        <v>139</v>
      </c>
      <c r="C88" s="13">
        <v>294.223</v>
      </c>
      <c r="D88" s="13">
        <v>322.858</v>
      </c>
      <c r="E88" s="13">
        <v>28.635</v>
      </c>
      <c r="F88" s="171">
        <v>9.732413849359157</v>
      </c>
      <c r="G88" s="86"/>
      <c r="H88" s="86"/>
    </row>
    <row r="89" spans="2:8" ht="11.25">
      <c r="B89" s="141" t="s">
        <v>140</v>
      </c>
      <c r="C89" s="13">
        <v>9953.50255312</v>
      </c>
      <c r="D89" s="13">
        <v>9666.327373450002</v>
      </c>
      <c r="E89" s="13">
        <v>-287.1751796699991</v>
      </c>
      <c r="F89" s="171">
        <v>-2.8851670870369337</v>
      </c>
      <c r="G89" s="86"/>
      <c r="H89" s="86"/>
    </row>
    <row r="90" spans="2:8" ht="11.25">
      <c r="B90" s="141" t="s">
        <v>141</v>
      </c>
      <c r="C90" s="13">
        <v>18821.12444627</v>
      </c>
      <c r="D90" s="13">
        <v>19118.738257359997</v>
      </c>
      <c r="E90" s="13">
        <v>297.6138110899956</v>
      </c>
      <c r="F90" s="171">
        <v>1.5812754011569012</v>
      </c>
      <c r="G90" s="86"/>
      <c r="H90" s="86"/>
    </row>
    <row r="91" spans="2:9" ht="11.25">
      <c r="B91" s="46" t="s">
        <v>76</v>
      </c>
      <c r="C91" s="13">
        <v>2086.5039454554176</v>
      </c>
      <c r="D91" s="13">
        <v>2091.1408858890522</v>
      </c>
      <c r="E91" s="13">
        <v>4.636940433634663</v>
      </c>
      <c r="F91" s="171">
        <v>0.22223492285908744</v>
      </c>
      <c r="G91" s="85"/>
      <c r="H91" s="85"/>
      <c r="I91" s="84"/>
    </row>
    <row r="92" spans="2:8" ht="11.25">
      <c r="B92" s="26"/>
      <c r="C92" s="13"/>
      <c r="D92" s="13"/>
      <c r="E92" s="47"/>
      <c r="F92" s="64"/>
      <c r="G92" s="86"/>
      <c r="H92" s="86"/>
    </row>
    <row r="93" spans="2:9" ht="11.25">
      <c r="B93" s="46" t="s">
        <v>66</v>
      </c>
      <c r="C93" s="47">
        <v>37127.03447830917</v>
      </c>
      <c r="D93" s="47">
        <v>37724.53330745424</v>
      </c>
      <c r="E93" s="47">
        <v>597.4988291450718</v>
      </c>
      <c r="F93" s="64">
        <v>1.609336262755244</v>
      </c>
      <c r="G93" s="85"/>
      <c r="H93" s="85"/>
      <c r="I93" s="84"/>
    </row>
    <row r="94" spans="2:8" ht="11.25">
      <c r="B94" s="46" t="s">
        <v>85</v>
      </c>
      <c r="C94" s="47">
        <v>23069.548296980003</v>
      </c>
      <c r="D94" s="47">
        <v>23499.54470648</v>
      </c>
      <c r="E94" s="47">
        <v>429.99640949999593</v>
      </c>
      <c r="F94" s="64">
        <v>1.8639134323938458</v>
      </c>
      <c r="G94" s="86"/>
      <c r="H94" s="86"/>
    </row>
    <row r="95" spans="2:8" ht="11.25">
      <c r="B95" s="48" t="s">
        <v>157</v>
      </c>
      <c r="C95" s="13">
        <v>744.53298303</v>
      </c>
      <c r="D95" s="13">
        <v>777.36882447</v>
      </c>
      <c r="E95" s="13">
        <v>32.83584144000008</v>
      </c>
      <c r="F95" s="171">
        <v>4.4102601480956825</v>
      </c>
      <c r="G95" s="86"/>
      <c r="H95" s="86"/>
    </row>
    <row r="96" spans="2:8" ht="11.25">
      <c r="B96" s="48" t="s">
        <v>86</v>
      </c>
      <c r="C96" s="13">
        <v>14126.103827320003</v>
      </c>
      <c r="D96" s="13">
        <v>14154.261028879999</v>
      </c>
      <c r="E96" s="13">
        <v>28.157201559995883</v>
      </c>
      <c r="F96" s="171">
        <v>0.19932744303874944</v>
      </c>
      <c r="G96" s="86"/>
      <c r="H96" s="86"/>
    </row>
    <row r="97" spans="2:8" ht="11.25">
      <c r="B97" s="48" t="s">
        <v>87</v>
      </c>
      <c r="C97" s="13">
        <v>8192.96372845</v>
      </c>
      <c r="D97" s="13">
        <v>8562.04685313</v>
      </c>
      <c r="E97" s="13">
        <v>369.08312467999895</v>
      </c>
      <c r="F97" s="171">
        <v>4.504879270957356</v>
      </c>
      <c r="G97" s="86"/>
      <c r="H97" s="86"/>
    </row>
    <row r="98" spans="2:8" ht="11.25">
      <c r="B98" s="48" t="s">
        <v>156</v>
      </c>
      <c r="C98" s="13">
        <v>5.94775818</v>
      </c>
      <c r="D98" s="13">
        <v>5.868</v>
      </c>
      <c r="E98" s="13">
        <v>-0.07975817999999979</v>
      </c>
      <c r="F98" s="171">
        <v>-1.340978862728407</v>
      </c>
      <c r="G98" s="86"/>
      <c r="H98" s="86"/>
    </row>
    <row r="99" spans="2:9" ht="11.25">
      <c r="B99" s="26" t="s">
        <v>88</v>
      </c>
      <c r="C99" s="13">
        <v>14063.433939509174</v>
      </c>
      <c r="D99" s="13">
        <v>14230.85660097425</v>
      </c>
      <c r="E99" s="13">
        <v>167.4226614650761</v>
      </c>
      <c r="F99" s="171">
        <v>1.1904820841425254</v>
      </c>
      <c r="G99" s="85"/>
      <c r="H99" s="85"/>
      <c r="I99" s="84"/>
    </row>
    <row r="100" spans="2:8" ht="11.25">
      <c r="B100" s="26"/>
      <c r="C100" s="13"/>
      <c r="D100" s="13"/>
      <c r="E100" s="47"/>
      <c r="F100" s="64"/>
      <c r="G100" s="86"/>
      <c r="H100" s="86"/>
    </row>
    <row r="101" spans="2:6" ht="12" hidden="1" thickBot="1">
      <c r="B101" s="49" t="s">
        <v>89</v>
      </c>
      <c r="C101" s="50">
        <v>-0.002186002311646007</v>
      </c>
      <c r="D101" s="50">
        <v>-0.052496489850454964</v>
      </c>
      <c r="E101" s="50">
        <v>-0.05031048753880896</v>
      </c>
      <c r="F101" s="50">
        <v>-0.00013978667906000553</v>
      </c>
    </row>
    <row r="102" spans="2:6" ht="11.25">
      <c r="B102" s="35"/>
      <c r="C102" s="35"/>
      <c r="D102" s="35"/>
      <c r="E102" s="35"/>
      <c r="F102" s="35"/>
    </row>
  </sheetData>
  <sheetProtection/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2007-07-05T12:58:07Z</cp:lastPrinted>
  <dcterms:created xsi:type="dcterms:W3CDTF">1999-07-02T10:21:54Z</dcterms:created>
  <dcterms:modified xsi:type="dcterms:W3CDTF">2008-01-21T13:48:30Z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