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6645" tabRatio="616" activeTab="6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'[3]table ii.6'!$D$6:$D$70</definedName>
    <definedName name="__123Graph_B" hidden="1">'[3]table ii.6'!$E$6:$E$70</definedName>
    <definedName name="__123Graph_C" hidden="1">'[3]table ii.6'!$F$6:$F$70</definedName>
    <definedName name="__123Graph_D" hidden="1">'[3]table ii.6'!$G$6:$G$70</definedName>
    <definedName name="__123Graph_E" hidden="1">'[3]table ii.6'!$H$6:$H$70</definedName>
    <definedName name="__123Graph_F" hidden="1">'[3]table ii.6'!$I$6:$I$70</definedName>
    <definedName name="_xlnm.Print_Area" localSheetId="0">'Coverpage'!$A$2:$A$22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'S7'!$B$77:$F$100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<sst xmlns="http://schemas.openxmlformats.org/spreadsheetml/2006/main" count="235" uniqueCount="173">
  <si>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</si>
  <si>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</si>
  <si>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</si>
  <si>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</si>
  <si>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</si>
  <si>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</si>
  <si>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</si>
  <si>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</si>
  <si>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</si>
  <si>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</si>
  <si>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</si>
  <si>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</si>
  <si>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</si>
  <si>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</si>
  <si>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</si>
  <si>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</si>
  <si>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</si>
  <si>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</si>
  <si>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</si>
  <si>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</si>
  <si>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</si>
  <si>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</si>
  <si>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</si>
  <si>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</si>
  <si>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</si>
  <si>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</si>
  <si>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</si>
  <si>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</si>
  <si>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</si>
  <si>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</si>
  <si>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</si>
  <si>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</si>
  <si>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</si>
  <si>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</si>
  <si>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</si>
  <si>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</si>
  <si>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</si>
  <si>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</si>
  <si>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</si>
  <si>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</si>
  <si>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</si>
  <si>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</si>
  <si>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</si>
  <si>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</si>
  <si>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</si>
  <si>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</si>
  <si>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</si>
  <si>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</si>
  <si>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</si>
  <si>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</si>
  <si>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</si>
  <si>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</si>
  <si>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</si>
  <si>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</si>
  <si>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</si>
  <si>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</si>
  <si>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</si>
  <si>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</si>
  <si>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</si>
  <si>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</si>
  <si>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</si>
  <si>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</si>
  <si>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</si>
  <si>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</si>
  <si>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</si>
  <si>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</si>
  <si>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</si>
  <si>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</si>
  <si>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</si>
  <si>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</si>
  <si>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</si>
  <si>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</si>
  <si>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</si>
  <si>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</si>
  <si>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</si>
  <si>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</si>
  <si>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</si>
  <si>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</si>
  <si>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</si>
  <si>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</si>
  <si>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</si>
  <si>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</si>
  <si>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</si>
  <si>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Deposits excluded from M2</t>
  </si>
  <si>
    <t>Shares and Equity</t>
  </si>
  <si>
    <t>Domestic Claims</t>
  </si>
  <si>
    <t>Claims on other Sectors</t>
  </si>
  <si>
    <t>Broad Money Supply</t>
  </si>
  <si>
    <t>Currency outside Depository Corporations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</si>
  <si>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</si>
  <si>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</si>
  <si>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</si>
  <si>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</si>
  <si>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</si>
  <si>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</si>
  <si>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</si>
  <si>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</si>
  <si>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</si>
  <si>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</si>
  <si>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</si>
  <si>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</si>
  <si>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</si>
  <si>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</si>
  <si>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</si>
  <si>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</si>
  <si>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</si>
  <si>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</si>
  <si>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</si>
  <si>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</si>
  <si>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</si>
  <si>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* Other Sector Claims = Private Sector Credit</t>
  </si>
  <si>
    <t>Public nonfinancial corporations</t>
  </si>
  <si>
    <t>Consumer Price Inflation [Percentage Change]*</t>
  </si>
  <si>
    <t>*  The consumer price inflation is based on the newly released NCPI (nation wide CPI)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</si>
  <si>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</si>
  <si>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</si>
  <si>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</si>
  <si>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</si>
  <si>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</si>
  <si>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</si>
  <si>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</si>
  <si>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</si>
  <si>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</si>
  <si>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</si>
  <si>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</si>
  <si>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</si>
  <si>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</si>
  <si>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</si>
  <si>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</si>
  <si>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</si>
  <si>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</si>
  <si>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</si>
  <si>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</si>
  <si>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</si>
  <si>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</si>
  <si>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</si>
  <si>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</si>
  <si>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</si>
  <si>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</si>
  <si>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</si>
  <si>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</si>
  <si>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</si>
  <si>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</si>
  <si>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</si>
  <si>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</si>
  <si>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</si>
  <si>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</si>
  <si>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</si>
  <si>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</si>
  <si>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</si>
  <si>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</si>
  <si>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</si>
  <si>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</si>
  <si>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</si>
  <si>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>**</t>
  </si>
  <si>
    <t xml:space="preserve">       International Reserves** and Exchange rates</t>
  </si>
  <si>
    <t xml:space="preserve">     </t>
  </si>
  <si>
    <t>**International Reserves of the Bank of Namibia</t>
  </si>
  <si>
    <t xml:space="preserve">  Selected Interest Rates</t>
  </si>
  <si>
    <t xml:space="preserve">              Namibia's Inflation vs South Africa's CPIX</t>
  </si>
  <si>
    <t>**The observed differences in the previous released figures for June 2006 vs the current, are due to incorporation</t>
  </si>
  <si>
    <t xml:space="preserve">   of figures from one ODC that were outstanding then. </t>
  </si>
  <si>
    <t xml:space="preserve">  Installment Credit</t>
  </si>
  <si>
    <t xml:space="preserve">  Leasing Transactions</t>
  </si>
  <si>
    <t xml:space="preserve">  Other Claims</t>
  </si>
  <si>
    <t xml:space="preserve">    Money Supply Month-on-Month  Percentage Changes</t>
  </si>
  <si>
    <t xml:space="preserve">   Domestic Claims and Other Sector Claims (Month-on-Month Percentage Changes)</t>
  </si>
  <si>
    <t xml:space="preserve">   Source: NSX</t>
  </si>
  <si>
    <t xml:space="preserve">   Source: BON</t>
  </si>
  <si>
    <t xml:space="preserve">                  NSX Indices</t>
  </si>
  <si>
    <t>Source: CBS &amp; STATSSA</t>
  </si>
  <si>
    <t xml:space="preserve">                          Foreign Exchange Reserves</t>
  </si>
  <si>
    <t xml:space="preserve">                           U.S Dollar/Namibia Dollar Exchange Rate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</si>
</sst>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65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8"/>
      <name val="Univers"/>
      <family val="0"/>
    </font>
    <font>
      <b/>
      <sz val="12"/>
      <color indexed="61"/>
      <name val="Univers"/>
      <family val="0"/>
    </font>
    <font>
      <sz val="11.75"/>
      <name val="Arial"/>
      <family val="2"/>
    </font>
    <font>
      <sz val="10"/>
      <name val="Arial"/>
      <family val="2"/>
    </font>
    <font>
      <sz val="8"/>
      <color indexed="16"/>
      <name val="Arial"/>
      <family val="2"/>
    </font>
    <font>
      <sz val="8.75"/>
      <name val="Arial"/>
      <family val="2"/>
    </font>
    <font>
      <sz val="9.5"/>
      <color indexed="8"/>
      <name val="Arial"/>
      <family val="2"/>
    </font>
    <font>
      <sz val="15.5"/>
      <name val="Arial"/>
      <family val="0"/>
    </font>
    <font>
      <sz val="15.25"/>
      <name val="Arial"/>
      <family val="2"/>
    </font>
    <font>
      <sz val="13.75"/>
      <name val="Arial"/>
      <family val="2"/>
    </font>
    <font>
      <sz val="14.25"/>
      <name val="Arial"/>
      <family val="2"/>
    </font>
    <font>
      <i/>
      <sz val="14"/>
      <name val="Arial"/>
      <family val="2"/>
    </font>
    <font>
      <sz val="10"/>
      <color indexed="37"/>
      <name val="Arial"/>
      <family val="2"/>
    </font>
    <font>
      <sz val="16"/>
      <name val="Arial"/>
      <family val="0"/>
    </font>
    <font>
      <b/>
      <sz val="8.5"/>
      <color indexed="37"/>
      <name val="Arial"/>
      <family val="2"/>
    </font>
    <font>
      <sz val="16.25"/>
      <name val="Arial"/>
      <family val="0"/>
    </font>
    <font>
      <b/>
      <sz val="9.25"/>
      <color indexed="37"/>
      <name val="Arial"/>
      <family val="2"/>
    </font>
    <font>
      <sz val="8.5"/>
      <name val="Arial"/>
      <family val="2"/>
    </font>
    <font>
      <sz val="19.5"/>
      <name val="Arial"/>
      <family val="0"/>
    </font>
    <font>
      <b/>
      <sz val="10"/>
      <color indexed="37"/>
      <name val="Arial"/>
      <family val="2"/>
    </font>
    <font>
      <sz val="9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15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" borderId="3" xfId="0" applyFont="1" applyFill="1" applyBorder="1" applyAlignment="1">
      <alignment/>
    </xf>
    <xf numFmtId="17" fontId="13" fillId="2" borderId="4" xfId="0" applyNumberFormat="1" applyFont="1" applyFill="1" applyBorder="1" applyAlignment="1">
      <alignment/>
    </xf>
    <xf numFmtId="185" fontId="4" fillId="4" borderId="0" xfId="0" applyNumberFormat="1" applyFont="1" applyFill="1" applyBorder="1" applyAlignment="1">
      <alignment/>
    </xf>
    <xf numFmtId="185" fontId="4" fillId="4" borderId="5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4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4" borderId="7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4" borderId="8" xfId="0" applyNumberFormat="1" applyFont="1" applyFill="1" applyBorder="1" applyAlignment="1">
      <alignment/>
    </xf>
    <xf numFmtId="2" fontId="9" fillId="4" borderId="7" xfId="0" applyNumberFormat="1" applyFont="1" applyFill="1" applyBorder="1" applyAlignment="1">
      <alignment/>
    </xf>
    <xf numFmtId="185" fontId="4" fillId="4" borderId="9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4" borderId="9" xfId="0" applyNumberFormat="1" applyFont="1" applyFill="1" applyBorder="1" applyAlignment="1">
      <alignment/>
    </xf>
    <xf numFmtId="17" fontId="4" fillId="5" borderId="9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185" fontId="26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 horizontal="left" indent="1"/>
    </xf>
    <xf numFmtId="0" fontId="26" fillId="4" borderId="5" xfId="0" applyFont="1" applyFill="1" applyBorder="1" applyAlignment="1">
      <alignment/>
    </xf>
    <xf numFmtId="185" fontId="26" fillId="4" borderId="5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4" borderId="9" xfId="0" applyFont="1" applyFill="1" applyBorder="1" applyAlignment="1">
      <alignment/>
    </xf>
    <xf numFmtId="0" fontId="27" fillId="4" borderId="5" xfId="0" applyFont="1" applyFill="1" applyBorder="1" applyAlignment="1">
      <alignment horizontal="left" indent="1"/>
    </xf>
    <xf numFmtId="0" fontId="15" fillId="0" borderId="5" xfId="0" applyFont="1" applyBorder="1" applyAlignment="1">
      <alignment/>
    </xf>
    <xf numFmtId="0" fontId="26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left" indent="3"/>
    </xf>
    <xf numFmtId="0" fontId="4" fillId="4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7" fontId="20" fillId="2" borderId="13" xfId="0" applyNumberFormat="1" applyFont="1" applyFill="1" applyBorder="1" applyAlignment="1">
      <alignment/>
    </xf>
    <xf numFmtId="0" fontId="20" fillId="2" borderId="13" xfId="0" applyFont="1" applyFill="1" applyBorder="1" applyAlignment="1">
      <alignment/>
    </xf>
    <xf numFmtId="178" fontId="26" fillId="4" borderId="0" xfId="0" applyNumberFormat="1" applyFont="1" applyFill="1" applyBorder="1" applyAlignment="1">
      <alignment/>
    </xf>
    <xf numFmtId="185" fontId="27" fillId="4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4" borderId="0" xfId="0" applyNumberFormat="1" applyFont="1" applyFill="1" applyBorder="1" applyAlignment="1">
      <alignment horizontal="left"/>
    </xf>
    <xf numFmtId="185" fontId="26" fillId="4" borderId="0" xfId="0" applyNumberFormat="1" applyFont="1" applyFill="1" applyBorder="1" applyAlignment="1">
      <alignment horizontal="left" indent="2"/>
    </xf>
    <xf numFmtId="185" fontId="4" fillId="4" borderId="0" xfId="0" applyNumberFormat="1" applyFont="1" applyFill="1" applyBorder="1" applyAlignment="1">
      <alignment horizontal="left" indent="2"/>
    </xf>
    <xf numFmtId="0" fontId="20" fillId="2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indent="1"/>
    </xf>
    <xf numFmtId="195" fontId="10" fillId="4" borderId="14" xfId="0" applyNumberFormat="1" applyFont="1" applyFill="1" applyBorder="1" applyAlignment="1">
      <alignment horizontal="center"/>
    </xf>
    <xf numFmtId="2" fontId="9" fillId="4" borderId="7" xfId="15" applyNumberFormat="1" applyFont="1" applyFill="1" applyBorder="1" applyAlignment="1">
      <alignment horizontal="right"/>
    </xf>
    <xf numFmtId="178" fontId="9" fillId="4" borderId="7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4" borderId="7" xfId="0" applyNumberFormat="1" applyFont="1" applyFill="1" applyBorder="1" applyAlignment="1">
      <alignment/>
    </xf>
    <xf numFmtId="4" fontId="9" fillId="4" borderId="7" xfId="0" applyNumberFormat="1" applyFont="1" applyFill="1" applyBorder="1" applyAlignment="1">
      <alignment horizontal="right"/>
    </xf>
    <xf numFmtId="2" fontId="9" fillId="4" borderId="7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4" borderId="15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46" fontId="30" fillId="2" borderId="16" xfId="0" applyNumberFormat="1" applyFont="1" applyFill="1" applyBorder="1" applyAlignment="1">
      <alignment/>
    </xf>
    <xf numFmtId="0" fontId="13" fillId="2" borderId="6" xfId="0" applyFont="1" applyFill="1" applyBorder="1" applyAlignment="1">
      <alignment/>
    </xf>
    <xf numFmtId="46" fontId="30" fillId="2" borderId="16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185" fontId="26" fillId="4" borderId="0" xfId="28" applyNumberFormat="1" applyFont="1" applyFill="1" applyBorder="1">
      <alignment/>
      <protection/>
    </xf>
    <xf numFmtId="185" fontId="4" fillId="4" borderId="0" xfId="28" applyNumberFormat="1" applyFont="1" applyFill="1" applyBorder="1">
      <alignment/>
      <protection/>
    </xf>
    <xf numFmtId="185" fontId="26" fillId="4" borderId="5" xfId="28" applyNumberFormat="1" applyFont="1" applyFill="1" applyBorder="1">
      <alignment/>
      <protection/>
    </xf>
    <xf numFmtId="185" fontId="26" fillId="4" borderId="0" xfId="28" applyNumberFormat="1" applyFont="1" applyFill="1" applyBorder="1" applyAlignment="1">
      <alignment horizontal="right"/>
      <protection/>
    </xf>
    <xf numFmtId="185" fontId="4" fillId="4" borderId="0" xfId="28" applyNumberFormat="1" applyFont="1" applyFill="1" applyBorder="1" applyAlignment="1">
      <alignment horizontal="right"/>
      <protection/>
    </xf>
    <xf numFmtId="185" fontId="26" fillId="4" borderId="5" xfId="28" applyNumberFormat="1" applyFont="1" applyFill="1" applyBorder="1" applyAlignment="1">
      <alignment horizontal="right"/>
      <protection/>
    </xf>
    <xf numFmtId="185" fontId="26" fillId="5" borderId="0" xfId="28" applyNumberFormat="1" applyFont="1" applyFill="1" applyBorder="1">
      <alignment/>
      <protection/>
    </xf>
    <xf numFmtId="185" fontId="4" fillId="5" borderId="0" xfId="28" applyNumberFormat="1" applyFont="1" applyFill="1" applyBorder="1">
      <alignment/>
      <protection/>
    </xf>
    <xf numFmtId="185" fontId="26" fillId="4" borderId="0" xfId="29" applyNumberFormat="1" applyFont="1" applyFill="1" applyBorder="1">
      <alignment/>
      <protection/>
    </xf>
    <xf numFmtId="185" fontId="4" fillId="4" borderId="0" xfId="29" applyNumberFormat="1" applyFont="1" applyFill="1" applyBorder="1">
      <alignment/>
      <protection/>
    </xf>
    <xf numFmtId="178" fontId="26" fillId="4" borderId="0" xfId="29" applyNumberFormat="1" applyFont="1" applyFill="1" applyBorder="1">
      <alignment/>
      <protection/>
    </xf>
    <xf numFmtId="2" fontId="4" fillId="4" borderId="0" xfId="29" applyNumberFormat="1" applyFont="1" applyFill="1" applyBorder="1">
      <alignment/>
      <protection/>
    </xf>
    <xf numFmtId="178" fontId="4" fillId="4" borderId="0" xfId="29" applyNumberFormat="1" applyFont="1" applyFill="1" applyBorder="1">
      <alignment/>
      <protection/>
    </xf>
    <xf numFmtId="0" fontId="38" fillId="0" borderId="8" xfId="0" applyFont="1" applyBorder="1" applyAlignment="1">
      <alignment/>
    </xf>
    <xf numFmtId="0" fontId="37" fillId="0" borderId="8" xfId="0" applyFont="1" applyBorder="1" applyAlignment="1">
      <alignment horizontal="center"/>
    </xf>
    <xf numFmtId="0" fontId="39" fillId="3" borderId="8" xfId="0" applyFont="1" applyFill="1" applyBorder="1" applyAlignment="1">
      <alignment/>
    </xf>
    <xf numFmtId="0" fontId="37" fillId="0" borderId="8" xfId="0" applyFont="1" applyBorder="1" applyAlignment="1">
      <alignment/>
    </xf>
    <xf numFmtId="0" fontId="37" fillId="0" borderId="17" xfId="0" applyFont="1" applyBorder="1" applyAlignment="1">
      <alignment/>
    </xf>
    <xf numFmtId="0" fontId="37" fillId="3" borderId="17" xfId="0" applyFont="1" applyFill="1" applyBorder="1" applyAlignment="1">
      <alignment/>
    </xf>
    <xf numFmtId="2" fontId="37" fillId="0" borderId="8" xfId="0" applyNumberFormat="1" applyFont="1" applyBorder="1" applyAlignment="1">
      <alignment/>
    </xf>
    <xf numFmtId="0" fontId="37" fillId="0" borderId="7" xfId="0" applyFont="1" applyBorder="1" applyAlignment="1">
      <alignment horizontal="center"/>
    </xf>
    <xf numFmtId="0" fontId="39" fillId="3" borderId="7" xfId="0" applyFont="1" applyFill="1" applyBorder="1" applyAlignment="1">
      <alignment/>
    </xf>
    <xf numFmtId="0" fontId="37" fillId="0" borderId="7" xfId="0" applyFont="1" applyBorder="1" applyAlignment="1">
      <alignment/>
    </xf>
    <xf numFmtId="0" fontId="37" fillId="0" borderId="18" xfId="0" applyFont="1" applyBorder="1" applyAlignment="1">
      <alignment/>
    </xf>
    <xf numFmtId="0" fontId="37" fillId="3" borderId="18" xfId="0" applyFont="1" applyFill="1" applyBorder="1" applyAlignment="1">
      <alignment/>
    </xf>
    <xf numFmtId="2" fontId="37" fillId="0" borderId="7" xfId="0" applyNumberFormat="1" applyFont="1" applyBorder="1" applyAlignment="1">
      <alignment/>
    </xf>
    <xf numFmtId="0" fontId="40" fillId="2" borderId="7" xfId="0" applyFont="1" applyFill="1" applyBorder="1" applyAlignment="1">
      <alignment horizontal="center"/>
    </xf>
    <xf numFmtId="17" fontId="40" fillId="2" borderId="7" xfId="0" applyNumberFormat="1" applyFont="1" applyFill="1" applyBorder="1" applyAlignment="1">
      <alignment horizontal="center"/>
    </xf>
    <xf numFmtId="17" fontId="40" fillId="2" borderId="18" xfId="0" applyNumberFormat="1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39" fillId="4" borderId="7" xfId="0" applyFont="1" applyFill="1" applyBorder="1" applyAlignment="1">
      <alignment horizontal="center"/>
    </xf>
    <xf numFmtId="0" fontId="37" fillId="4" borderId="7" xfId="0" applyFont="1" applyFill="1" applyBorder="1" applyAlignment="1">
      <alignment horizontal="center"/>
    </xf>
    <xf numFmtId="0" fontId="39" fillId="4" borderId="7" xfId="0" applyFont="1" applyFill="1" applyBorder="1" applyAlignment="1">
      <alignment/>
    </xf>
    <xf numFmtId="0" fontId="39" fillId="4" borderId="18" xfId="0" applyFont="1" applyFill="1" applyBorder="1" applyAlignment="1">
      <alignment/>
    </xf>
    <xf numFmtId="0" fontId="37" fillId="4" borderId="18" xfId="0" applyFont="1" applyFill="1" applyBorder="1" applyAlignment="1">
      <alignment/>
    </xf>
    <xf numFmtId="0" fontId="37" fillId="4" borderId="7" xfId="0" applyFont="1" applyFill="1" applyBorder="1" applyAlignment="1">
      <alignment/>
    </xf>
    <xf numFmtId="17" fontId="40" fillId="4" borderId="7" xfId="0" applyNumberFormat="1" applyFont="1" applyFill="1" applyBorder="1" applyAlignment="1">
      <alignment horizontal="center"/>
    </xf>
    <xf numFmtId="185" fontId="39" fillId="4" borderId="7" xfId="0" applyNumberFormat="1" applyFont="1" applyFill="1" applyBorder="1" applyAlignment="1">
      <alignment horizontal="center"/>
    </xf>
    <xf numFmtId="178" fontId="39" fillId="4" borderId="7" xfId="0" applyNumberFormat="1" applyFont="1" applyFill="1" applyBorder="1" applyAlignment="1">
      <alignment/>
    </xf>
    <xf numFmtId="178" fontId="39" fillId="4" borderId="7" xfId="0" applyNumberFormat="1" applyFont="1" applyFill="1" applyBorder="1" applyAlignment="1">
      <alignment horizontal="right"/>
    </xf>
    <xf numFmtId="178" fontId="39" fillId="4" borderId="18" xfId="0" applyNumberFormat="1" applyFont="1" applyFill="1" applyBorder="1" applyAlignment="1">
      <alignment/>
    </xf>
    <xf numFmtId="178" fontId="39" fillId="4" borderId="18" xfId="0" applyNumberFormat="1" applyFont="1" applyFill="1" applyBorder="1" applyAlignment="1">
      <alignment horizontal="right"/>
    </xf>
    <xf numFmtId="178" fontId="39" fillId="4" borderId="7" xfId="0" applyNumberFormat="1" applyFont="1" applyFill="1" applyBorder="1" applyAlignment="1">
      <alignment/>
    </xf>
    <xf numFmtId="178" fontId="39" fillId="4" borderId="7" xfId="0" applyNumberFormat="1" applyFont="1" applyFill="1" applyBorder="1" applyAlignment="1">
      <alignment horizontal="center"/>
    </xf>
    <xf numFmtId="178" fontId="39" fillId="4" borderId="18" xfId="0" applyNumberFormat="1" applyFont="1" applyFill="1" applyBorder="1" applyAlignment="1">
      <alignment horizontal="center"/>
    </xf>
    <xf numFmtId="0" fontId="39" fillId="4" borderId="7" xfId="0" applyFont="1" applyFill="1" applyBorder="1" applyAlignment="1">
      <alignment horizontal="right"/>
    </xf>
    <xf numFmtId="182" fontId="39" fillId="4" borderId="7" xfId="0" applyNumberFormat="1" applyFont="1" applyFill="1" applyBorder="1" applyAlignment="1">
      <alignment/>
    </xf>
    <xf numFmtId="182" fontId="39" fillId="4" borderId="7" xfId="0" applyNumberFormat="1" applyFont="1" applyFill="1" applyBorder="1" applyAlignment="1">
      <alignment horizontal="center"/>
    </xf>
    <xf numFmtId="182" fontId="39" fillId="4" borderId="7" xfId="0" applyNumberFormat="1" applyFont="1" applyFill="1" applyBorder="1" applyAlignment="1">
      <alignment horizontal="right"/>
    </xf>
    <xf numFmtId="182" fontId="39" fillId="4" borderId="18" xfId="0" applyNumberFormat="1" applyFont="1" applyFill="1" applyBorder="1" applyAlignment="1">
      <alignment horizontal="right"/>
    </xf>
    <xf numFmtId="0" fontId="39" fillId="3" borderId="7" xfId="0" applyFont="1" applyFill="1" applyBorder="1" applyAlignment="1">
      <alignment horizontal="center"/>
    </xf>
    <xf numFmtId="0" fontId="41" fillId="3" borderId="7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/>
    </xf>
    <xf numFmtId="0" fontId="37" fillId="3" borderId="7" xfId="0" applyFont="1" applyFill="1" applyBorder="1" applyAlignment="1">
      <alignment/>
    </xf>
    <xf numFmtId="0" fontId="42" fillId="0" borderId="7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3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9" fillId="3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9" xfId="0" applyFont="1" applyBorder="1" applyAlignment="1">
      <alignment/>
    </xf>
    <xf numFmtId="0" fontId="37" fillId="3" borderId="19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5" fontId="26" fillId="4" borderId="13" xfId="29" applyNumberFormat="1" applyFont="1" applyFill="1" applyBorder="1">
      <alignment/>
      <protection/>
    </xf>
    <xf numFmtId="185" fontId="26" fillId="4" borderId="5" xfId="29" applyNumberFormat="1" applyFont="1" applyFill="1" applyBorder="1">
      <alignment/>
      <protection/>
    </xf>
    <xf numFmtId="0" fontId="27" fillId="6" borderId="0" xfId="0" applyFont="1" applyFill="1" applyBorder="1" applyAlignment="1">
      <alignment horizontal="left" indent="2"/>
    </xf>
    <xf numFmtId="202" fontId="4" fillId="4" borderId="0" xfId="15" applyNumberFormat="1" applyFont="1" applyFill="1" applyBorder="1" applyAlignment="1">
      <alignment horizontal="right"/>
    </xf>
    <xf numFmtId="202" fontId="4" fillId="5" borderId="0" xfId="15" applyNumberFormat="1" applyFont="1" applyFill="1" applyBorder="1" applyAlignment="1">
      <alignment horizontal="right"/>
    </xf>
    <xf numFmtId="185" fontId="4" fillId="5" borderId="5" xfId="28" applyNumberFormat="1" applyFont="1" applyFill="1" applyBorder="1">
      <alignment/>
      <protection/>
    </xf>
    <xf numFmtId="0" fontId="26" fillId="4" borderId="0" xfId="29" applyFont="1" applyFill="1" applyBorder="1">
      <alignment/>
      <protection/>
    </xf>
    <xf numFmtId="0" fontId="27" fillId="4" borderId="0" xfId="29" applyFont="1" applyFill="1" applyBorder="1" applyAlignment="1">
      <alignment horizontal="left" indent="1"/>
      <protection/>
    </xf>
    <xf numFmtId="0" fontId="26" fillId="4" borderId="0" xfId="29" applyFont="1" applyFill="1" applyBorder="1" applyAlignment="1">
      <alignment horizontal="left"/>
      <protection/>
    </xf>
    <xf numFmtId="185" fontId="27" fillId="4" borderId="0" xfId="29" applyNumberFormat="1" applyFont="1" applyFill="1" applyBorder="1" applyAlignment="1">
      <alignment horizontal="left" indent="1"/>
      <protection/>
    </xf>
    <xf numFmtId="0" fontId="26" fillId="4" borderId="13" xfId="29" applyFont="1" applyFill="1" applyBorder="1">
      <alignment/>
      <protection/>
    </xf>
    <xf numFmtId="185" fontId="26" fillId="5" borderId="0" xfId="0" applyNumberFormat="1" applyFont="1" applyFill="1" applyBorder="1" applyAlignment="1">
      <alignment/>
    </xf>
    <xf numFmtId="185" fontId="4" fillId="5" borderId="0" xfId="0" applyNumberFormat="1" applyFont="1" applyFill="1" applyBorder="1" applyAlignment="1">
      <alignment/>
    </xf>
    <xf numFmtId="185" fontId="4" fillId="5" borderId="0" xfId="0" applyNumberFormat="1" applyFont="1" applyFill="1" applyBorder="1" applyAlignment="1">
      <alignment horizontal="right"/>
    </xf>
    <xf numFmtId="185" fontId="4" fillId="5" borderId="5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27" fillId="6" borderId="5" xfId="0" applyFont="1" applyFill="1" applyBorder="1" applyAlignment="1">
      <alignment horizontal="left" indent="3"/>
    </xf>
    <xf numFmtId="178" fontId="4" fillId="4" borderId="5" xfId="0" applyNumberFormat="1" applyFont="1" applyFill="1" applyBorder="1" applyAlignment="1">
      <alignment horizontal="right"/>
    </xf>
    <xf numFmtId="185" fontId="26" fillId="5" borderId="0" xfId="0" applyNumberFormat="1" applyFont="1" applyFill="1" applyBorder="1" applyAlignment="1">
      <alignment horizontal="right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2" borderId="23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Normal_S1" xfId="28"/>
    <cellStyle name="Normal_S7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0.13975"/>
          <c:w val="0.832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'[5]M1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'[5]M1 M2 Chart'!$AF$7:$AR$7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'[5]M1 M2 Chart'!$AF$8:$AR$8</c:f>
              <c:numCache>
                <c:ptCount val="13"/>
                <c:pt idx="0">
                  <c:v>2.763992223628391</c:v>
                </c:pt>
                <c:pt idx="1">
                  <c:v>-1.424840740354556</c:v>
                </c:pt>
                <c:pt idx="2">
                  <c:v>-1.3146594771492166</c:v>
                </c:pt>
                <c:pt idx="3">
                  <c:v>1.34119491990188</c:v>
                </c:pt>
                <c:pt idx="4">
                  <c:v>-0.4486893890779177</c:v>
                </c:pt>
                <c:pt idx="5">
                  <c:v>-0.15856097406308428</c:v>
                </c:pt>
                <c:pt idx="6">
                  <c:v>0.874541710785246</c:v>
                </c:pt>
                <c:pt idx="7">
                  <c:v>2.441095632286411</c:v>
                </c:pt>
                <c:pt idx="8">
                  <c:v>7.30664569346007</c:v>
                </c:pt>
                <c:pt idx="9">
                  <c:v>2.018408013252184</c:v>
                </c:pt>
                <c:pt idx="10">
                  <c:v>3.053687786141357</c:v>
                </c:pt>
                <c:pt idx="11">
                  <c:v>4.218696831444213</c:v>
                </c:pt>
                <c:pt idx="12">
                  <c:v>2.064092169580869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'[5]M1 M2 Chart'!$AF$7:$AR$7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'[5]M1 M2 Chart'!$AF$9:$AR$9</c:f>
              <c:numCache>
                <c:ptCount val="13"/>
                <c:pt idx="0">
                  <c:v>5.012505595355692</c:v>
                </c:pt>
                <c:pt idx="1">
                  <c:v>-1.30267835378685</c:v>
                </c:pt>
                <c:pt idx="2">
                  <c:v>-2.461677429800435</c:v>
                </c:pt>
                <c:pt idx="3">
                  <c:v>-0.13648173676990139</c:v>
                </c:pt>
                <c:pt idx="4">
                  <c:v>-2.7387206868691725</c:v>
                </c:pt>
                <c:pt idx="5">
                  <c:v>0.599055108398417</c:v>
                </c:pt>
                <c:pt idx="6">
                  <c:v>3.4969366714066834</c:v>
                </c:pt>
                <c:pt idx="7">
                  <c:v>4.967757419233871</c:v>
                </c:pt>
                <c:pt idx="8">
                  <c:v>9.25840878158208</c:v>
                </c:pt>
                <c:pt idx="9">
                  <c:v>0.06528293651520134</c:v>
                </c:pt>
                <c:pt idx="10">
                  <c:v>4.073994220362538</c:v>
                </c:pt>
                <c:pt idx="11">
                  <c:v>1.5601745047783908</c:v>
                </c:pt>
                <c:pt idx="12">
                  <c:v>3.1219530629032963</c:v>
                </c:pt>
              </c:numCache>
            </c:numRef>
          </c:val>
          <c:smooth val="0"/>
        </c:ser>
        <c:axId val="5503383"/>
        <c:axId val="49530448"/>
      </c:lineChart>
      <c:date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60000"/>
          <a:lstStyle/>
          <a:p>
            <a:pPr>
              <a:defRPr lang="en-US" cap="none" sz="875" b="0" i="0" u="none" baseline="0">
                <a:solidFill>
                  <a:srgbClr val="800000"/>
                </a:solidFill>
              </a:defRPr>
            </a:pPr>
          </a:p>
        </c:txPr>
        <c:crossAx val="49530448"/>
        <c:crosses val="autoZero"/>
        <c:auto val="0"/>
        <c:noMultiLvlLbl val="0"/>
      </c:dateAx>
      <c:valAx>
        <c:axId val="4953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5503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75"/>
          <c:y val="0.94175"/>
          <c:w val="0.59025"/>
          <c:h val="0.0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995"/>
          <c:w val="0.91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'[5]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 PSC chart'!$AE$10:$AQ$10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'[5] PSC chart'!$AE$11:$AQ$11</c:f>
              <c:numCache>
                <c:ptCount val="13"/>
                <c:pt idx="0">
                  <c:v>-0.2036036993568962</c:v>
                </c:pt>
                <c:pt idx="1">
                  <c:v>2.3140521293458534</c:v>
                </c:pt>
                <c:pt idx="2">
                  <c:v>1.8488089477053462</c:v>
                </c:pt>
                <c:pt idx="3">
                  <c:v>-0.7710777670767199</c:v>
                </c:pt>
                <c:pt idx="4">
                  <c:v>2.6341312087753592</c:v>
                </c:pt>
                <c:pt idx="5">
                  <c:v>6.692637054627848</c:v>
                </c:pt>
                <c:pt idx="6">
                  <c:v>-5.585811702912533</c:v>
                </c:pt>
                <c:pt idx="7">
                  <c:v>2.854429245382314</c:v>
                </c:pt>
                <c:pt idx="8">
                  <c:v>0.8100890367547707</c:v>
                </c:pt>
                <c:pt idx="9">
                  <c:v>-2.739376001603576</c:v>
                </c:pt>
                <c:pt idx="10">
                  <c:v>4.374669762710496</c:v>
                </c:pt>
                <c:pt idx="11">
                  <c:v>2.6579112339420976</c:v>
                </c:pt>
                <c:pt idx="12">
                  <c:v>-1.7217054446794489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 PSC chart'!$AE$10:$AQ$10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'[5] PSC chart'!$AE$12:$AQ$12</c:f>
              <c:numCache>
                <c:ptCount val="13"/>
                <c:pt idx="0">
                  <c:v>2.1789362471443208</c:v>
                </c:pt>
                <c:pt idx="1">
                  <c:v>0.5735690330321129</c:v>
                </c:pt>
                <c:pt idx="2">
                  <c:v>1.5816507791504064</c:v>
                </c:pt>
                <c:pt idx="3">
                  <c:v>1.2024642589187624</c:v>
                </c:pt>
                <c:pt idx="4">
                  <c:v>2.0815416347880524</c:v>
                </c:pt>
                <c:pt idx="5">
                  <c:v>5.581722051509344</c:v>
                </c:pt>
                <c:pt idx="6">
                  <c:v>-3.188096393159089</c:v>
                </c:pt>
                <c:pt idx="7">
                  <c:v>2.882356604278192</c:v>
                </c:pt>
                <c:pt idx="8">
                  <c:v>-0.23208471129762012</c:v>
                </c:pt>
                <c:pt idx="9">
                  <c:v>1.9381062631188901</c:v>
                </c:pt>
                <c:pt idx="10">
                  <c:v>1.673006597960738</c:v>
                </c:pt>
                <c:pt idx="11">
                  <c:v>0.5301595046702494</c:v>
                </c:pt>
                <c:pt idx="12">
                  <c:v>2.723141408263861</c:v>
                </c:pt>
              </c:numCache>
            </c:numRef>
          </c:val>
          <c:smooth val="0"/>
        </c:ser>
        <c:axId val="43120849"/>
        <c:axId val="52543322"/>
      </c:lineChart>
      <c:date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800000"/>
                </a:solidFill>
              </a:defRPr>
            </a:pPr>
          </a:p>
        </c:txPr>
        <c:crossAx val="52543322"/>
        <c:crosses val="autoZero"/>
        <c:auto val="0"/>
        <c:noMultiLvlLbl val="0"/>
      </c:dateAx>
      <c:valAx>
        <c:axId val="52543322"/>
        <c:scaling>
          <c:orientation val="minMax"/>
          <c:max val="7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4312084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"/>
          <c:y val="0.91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62"/>
          <c:w val="0.91025"/>
          <c:h val="0.872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'[1]Monthly indices'!$B$117:$B$129</c:f>
              <c:numCache>
                <c:ptCount val="1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</c:numCache>
            </c:numRef>
          </c:cat>
          <c:val>
            <c:numRef>
              <c:f>'[1]Monthly indices'!$C$117:$C$129</c:f>
              <c:numCache>
                <c:ptCount val="13"/>
                <c:pt idx="0">
                  <c:v>484.19</c:v>
                </c:pt>
                <c:pt idx="1">
                  <c:v>482.53</c:v>
                </c:pt>
                <c:pt idx="2">
                  <c:v>523.72</c:v>
                </c:pt>
                <c:pt idx="3">
                  <c:v>520.07</c:v>
                </c:pt>
                <c:pt idx="4">
                  <c:v>536.25</c:v>
                </c:pt>
                <c:pt idx="5">
                  <c:v>581.68</c:v>
                </c:pt>
                <c:pt idx="6">
                  <c:v>633</c:v>
                </c:pt>
                <c:pt idx="7">
                  <c:v>621.84</c:v>
                </c:pt>
                <c:pt idx="8">
                  <c:v>622</c:v>
                </c:pt>
                <c:pt idx="9">
                  <c:v>655</c:v>
                </c:pt>
                <c:pt idx="10">
                  <c:v>682</c:v>
                </c:pt>
                <c:pt idx="11">
                  <c:v>665.85</c:v>
                </c:pt>
                <c:pt idx="12">
                  <c:v>688.72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3127851"/>
        <c:axId val="28150660"/>
      </c:lineChart>
      <c:lineChart>
        <c:grouping val="standard"/>
        <c:varyColors val="0"/>
        <c:ser>
          <c:idx val="1"/>
          <c:order val="1"/>
          <c:tx>
            <c:strRef>
              <c:f>'[1]Monthly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'[1]Monthly indices'!$D$117:$D$129</c:f>
              <c:numCache>
                <c:ptCount val="13"/>
                <c:pt idx="0">
                  <c:v>66.66</c:v>
                </c:pt>
                <c:pt idx="1">
                  <c:v>66.3</c:v>
                </c:pt>
                <c:pt idx="2">
                  <c:v>65.64</c:v>
                </c:pt>
                <c:pt idx="3">
                  <c:v>65.04</c:v>
                </c:pt>
                <c:pt idx="4">
                  <c:v>69.98</c:v>
                </c:pt>
                <c:pt idx="5">
                  <c:v>71.74</c:v>
                </c:pt>
                <c:pt idx="6">
                  <c:v>74</c:v>
                </c:pt>
                <c:pt idx="7">
                  <c:v>77.02</c:v>
                </c:pt>
                <c:pt idx="8">
                  <c:v>77.02</c:v>
                </c:pt>
                <c:pt idx="9">
                  <c:v>79</c:v>
                </c:pt>
                <c:pt idx="10">
                  <c:v>79</c:v>
                </c:pt>
                <c:pt idx="11">
                  <c:v>80.95</c:v>
                </c:pt>
                <c:pt idx="12">
                  <c:v>83.73</c:v>
                </c:pt>
              </c:numCache>
            </c:numRef>
          </c:val>
          <c:smooth val="0"/>
        </c:ser>
        <c:axId val="52029349"/>
        <c:axId val="65610958"/>
      </c:lineChart>
      <c:catAx>
        <c:axId val="3127851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800000"/>
                </a:solidFill>
              </a:defRPr>
            </a:pPr>
          </a:p>
        </c:txPr>
        <c:crossAx val="28150660"/>
        <c:crosses val="autoZero"/>
        <c:auto val="1"/>
        <c:lblOffset val="100"/>
        <c:noMultiLvlLbl val="0"/>
      </c:catAx>
      <c:valAx>
        <c:axId val="2815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solidFill>
                  <a:srgbClr val="993366"/>
                </a:solidFill>
              </a:defRPr>
            </a:pPr>
          </a:p>
        </c:txPr>
        <c:crossAx val="3127851"/>
        <c:crossesAt val="1"/>
        <c:crossBetween val="between"/>
        <c:dispUnits/>
      </c:valAx>
      <c:catAx>
        <c:axId val="52029349"/>
        <c:scaling>
          <c:orientation val="minMax"/>
        </c:scaling>
        <c:axPos val="b"/>
        <c:delete val="1"/>
        <c:majorTickMark val="cross"/>
        <c:minorTickMark val="none"/>
        <c:tickLblPos val="nextTo"/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solidFill>
                  <a:srgbClr val="993366"/>
                </a:solidFill>
              </a:defRPr>
            </a:pPr>
          </a:p>
        </c:txPr>
        <c:crossAx val="520293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"/>
          <c:y val="0.93975"/>
          <c:w val="0.50375"/>
          <c:h val="0.053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375"/>
          <c:w val="0.892"/>
          <c:h val="0.592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'[2]Data'!$D$183:$D$195</c:f>
              <c:numCache>
                <c:ptCount val="13"/>
                <c:pt idx="0">
                  <c:v>38535</c:v>
                </c:pt>
                <c:pt idx="1">
                  <c:v>38566</c:v>
                </c:pt>
                <c:pt idx="2">
                  <c:v>38597</c:v>
                </c:pt>
                <c:pt idx="3">
                  <c:v>38627</c:v>
                </c:pt>
                <c:pt idx="4">
                  <c:v>38658</c:v>
                </c:pt>
                <c:pt idx="5">
                  <c:v>38688</c:v>
                </c:pt>
                <c:pt idx="6">
                  <c:v>38719</c:v>
                </c:pt>
                <c:pt idx="7">
                  <c:v>38750</c:v>
                </c:pt>
                <c:pt idx="8">
                  <c:v>38778</c:v>
                </c:pt>
                <c:pt idx="9">
                  <c:v>38809</c:v>
                </c:pt>
                <c:pt idx="10">
                  <c:v>38839</c:v>
                </c:pt>
                <c:pt idx="11">
                  <c:v>38870</c:v>
                </c:pt>
                <c:pt idx="12">
                  <c:v>38900</c:v>
                </c:pt>
              </c:numCache>
            </c:numRef>
          </c:cat>
          <c:val>
            <c:numRef>
              <c:f>'[2]Data'!$F$183:$F$195</c:f>
              <c:numCach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7.5</c:v>
                </c:pt>
                <c:pt idx="12">
                  <c:v>7.5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'[2]Data'!$K$5:$K$6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'[2]Data'!$D$183:$D$195</c:f>
              <c:numCache>
                <c:ptCount val="13"/>
                <c:pt idx="0">
                  <c:v>38535</c:v>
                </c:pt>
                <c:pt idx="1">
                  <c:v>38566</c:v>
                </c:pt>
                <c:pt idx="2">
                  <c:v>38597</c:v>
                </c:pt>
                <c:pt idx="3">
                  <c:v>38627</c:v>
                </c:pt>
                <c:pt idx="4">
                  <c:v>38658</c:v>
                </c:pt>
                <c:pt idx="5">
                  <c:v>38688</c:v>
                </c:pt>
                <c:pt idx="6">
                  <c:v>38719</c:v>
                </c:pt>
                <c:pt idx="7">
                  <c:v>38750</c:v>
                </c:pt>
                <c:pt idx="8">
                  <c:v>38778</c:v>
                </c:pt>
                <c:pt idx="9">
                  <c:v>38809</c:v>
                </c:pt>
                <c:pt idx="10">
                  <c:v>38839</c:v>
                </c:pt>
                <c:pt idx="11">
                  <c:v>38870</c:v>
                </c:pt>
                <c:pt idx="12">
                  <c:v>38900</c:v>
                </c:pt>
              </c:numCache>
            </c:numRef>
          </c:cat>
          <c:val>
            <c:numRef>
              <c:f>'[2]Data'!$K$183:$K$195</c:f>
              <c:numCache>
                <c:ptCount val="13"/>
                <c:pt idx="0">
                  <c:v>6.13</c:v>
                </c:pt>
                <c:pt idx="1">
                  <c:v>6.06</c:v>
                </c:pt>
                <c:pt idx="2">
                  <c:v>6.13</c:v>
                </c:pt>
                <c:pt idx="3">
                  <c:v>5.98</c:v>
                </c:pt>
                <c:pt idx="4">
                  <c:v>6.02</c:v>
                </c:pt>
                <c:pt idx="5">
                  <c:v>5.99</c:v>
                </c:pt>
                <c:pt idx="6">
                  <c:v>6.09</c:v>
                </c:pt>
                <c:pt idx="7">
                  <c:v>6.1</c:v>
                </c:pt>
                <c:pt idx="8">
                  <c:v>6.11</c:v>
                </c:pt>
                <c:pt idx="9">
                  <c:v>6.31</c:v>
                </c:pt>
                <c:pt idx="10">
                  <c:v>6.13</c:v>
                </c:pt>
                <c:pt idx="11">
                  <c:v>6.24</c:v>
                </c:pt>
                <c:pt idx="12">
                  <c:v>6.18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'[2]Data'!$D$183:$D$195</c:f>
              <c:numCache>
                <c:ptCount val="13"/>
                <c:pt idx="0">
                  <c:v>38535</c:v>
                </c:pt>
                <c:pt idx="1">
                  <c:v>38566</c:v>
                </c:pt>
                <c:pt idx="2">
                  <c:v>38597</c:v>
                </c:pt>
                <c:pt idx="3">
                  <c:v>38627</c:v>
                </c:pt>
                <c:pt idx="4">
                  <c:v>38658</c:v>
                </c:pt>
                <c:pt idx="5">
                  <c:v>38688</c:v>
                </c:pt>
                <c:pt idx="6">
                  <c:v>38719</c:v>
                </c:pt>
                <c:pt idx="7">
                  <c:v>38750</c:v>
                </c:pt>
                <c:pt idx="8">
                  <c:v>38778</c:v>
                </c:pt>
                <c:pt idx="9">
                  <c:v>38809</c:v>
                </c:pt>
                <c:pt idx="10">
                  <c:v>38839</c:v>
                </c:pt>
                <c:pt idx="11">
                  <c:v>38870</c:v>
                </c:pt>
                <c:pt idx="12">
                  <c:v>38900</c:v>
                </c:pt>
              </c:numCache>
            </c:numRef>
          </c:cat>
          <c:val>
            <c:numRef>
              <c:f>'[2]Data'!$L$183:$L$195</c:f>
              <c:numCache>
                <c:ptCount val="13"/>
                <c:pt idx="0">
                  <c:v>10.52</c:v>
                </c:pt>
                <c:pt idx="1">
                  <c:v>10.5</c:v>
                </c:pt>
                <c:pt idx="2">
                  <c:v>10.77</c:v>
                </c:pt>
                <c:pt idx="3">
                  <c:v>10.55</c:v>
                </c:pt>
                <c:pt idx="4">
                  <c:v>10.54</c:v>
                </c:pt>
                <c:pt idx="5">
                  <c:v>10.78</c:v>
                </c:pt>
                <c:pt idx="6">
                  <c:v>10.46</c:v>
                </c:pt>
                <c:pt idx="7">
                  <c:v>10.69</c:v>
                </c:pt>
                <c:pt idx="8">
                  <c:v>10.78</c:v>
                </c:pt>
                <c:pt idx="9">
                  <c:v>10.58</c:v>
                </c:pt>
                <c:pt idx="10">
                  <c:v>10.8</c:v>
                </c:pt>
                <c:pt idx="11">
                  <c:v>10.61</c:v>
                </c:pt>
                <c:pt idx="12">
                  <c:v>10.93</c:v>
                </c:pt>
              </c:numCache>
            </c:numRef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425" b="0" i="0" u="none" baseline="0">
                <a:solidFill>
                  <a:srgbClr val="800000"/>
                </a:solidFill>
              </a:defRPr>
            </a:pPr>
          </a:p>
        </c:txPr>
        <c:crossAx val="12887352"/>
        <c:crossesAt val="0"/>
        <c:auto val="1"/>
        <c:lblOffset val="100"/>
        <c:noMultiLvlLbl val="0"/>
      </c:catAx>
      <c:valAx>
        <c:axId val="12887352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362771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3825"/>
          <c:y val="0.72125"/>
          <c:w val="0.5795"/>
          <c:h val="0.078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25"/>
          <c:w val="0.9747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-NCPI'!$B$11:$B$23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'[4]Inflation CPIX -NCPI'!$C$11:$C$23</c:f>
              <c:numCache>
                <c:ptCount val="13"/>
                <c:pt idx="0">
                  <c:v>4.2</c:v>
                </c:pt>
                <c:pt idx="1">
                  <c:v>4.8</c:v>
                </c:pt>
                <c:pt idx="2">
                  <c:v>4.7</c:v>
                </c:pt>
                <c:pt idx="3">
                  <c:v>4.4</c:v>
                </c:pt>
                <c:pt idx="4">
                  <c:v>3.7</c:v>
                </c:pt>
                <c:pt idx="5">
                  <c:v>4</c:v>
                </c:pt>
                <c:pt idx="6">
                  <c:v>4.3</c:v>
                </c:pt>
                <c:pt idx="7">
                  <c:v>4.5</c:v>
                </c:pt>
                <c:pt idx="8">
                  <c:v>3.8</c:v>
                </c:pt>
                <c:pt idx="9">
                  <c:v>3.7</c:v>
                </c:pt>
                <c:pt idx="10">
                  <c:v>4.1</c:v>
                </c:pt>
                <c:pt idx="11">
                  <c:v>4.8</c:v>
                </c:pt>
                <c:pt idx="12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-NCPI'!$B$11:$B$23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'[4]Inflation CPIX -NCPI'!$D$11:$D$23</c:f>
              <c:numCache>
                <c:ptCount val="13"/>
                <c:pt idx="0">
                  <c:v>1.7</c:v>
                </c:pt>
                <c:pt idx="1">
                  <c:v>2.2</c:v>
                </c:pt>
                <c:pt idx="2">
                  <c:v>2.9</c:v>
                </c:pt>
                <c:pt idx="3">
                  <c:v>2.9</c:v>
                </c:pt>
                <c:pt idx="4">
                  <c:v>3.4</c:v>
                </c:pt>
                <c:pt idx="5">
                  <c:v>3.4</c:v>
                </c:pt>
                <c:pt idx="6">
                  <c:v>3.6</c:v>
                </c:pt>
                <c:pt idx="7">
                  <c:v>3.7</c:v>
                </c:pt>
                <c:pt idx="8">
                  <c:v>4.6</c:v>
                </c:pt>
                <c:pt idx="9">
                  <c:v>4.4</c:v>
                </c:pt>
                <c:pt idx="10">
                  <c:v>5.1</c:v>
                </c:pt>
                <c:pt idx="11">
                  <c:v>5.3</c:v>
                </c:pt>
                <c:pt idx="12">
                  <c:v>5.1</c:v>
                </c:pt>
              </c:numCache>
            </c:numRef>
          </c:val>
          <c:smooth val="0"/>
        </c:ser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525" b="0" i="0" u="none" baseline="0">
                <a:solidFill>
                  <a:srgbClr val="800000"/>
                </a:solidFill>
              </a:defRPr>
            </a:pPr>
          </a:p>
        </c:txPr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  <c:max val="9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solidFill>
                  <a:srgbClr val="800000"/>
                </a:solidFill>
              </a:defRPr>
            </a:pPr>
          </a:p>
        </c:txPr>
        <c:crossAx val="48877305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"/>
          <c:w val="0.46775"/>
          <c:h val="0.044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125"/>
          <c:w val="0.9515"/>
          <c:h val="0.958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'S5'!$AF$4:$AR$4</c:f>
              <c:strCache>
                <c:ptCount val="13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</c:strCache>
            </c:strRef>
          </c:cat>
          <c:val>
            <c:numRef>
              <c:f>'S5'!$AF$13:$AR$13</c:f>
              <c:numCache>
                <c:ptCount val="13"/>
                <c:pt idx="0">
                  <c:v>0.14917580368464234</c:v>
                </c:pt>
                <c:pt idx="1">
                  <c:v>0.15467904098994587</c:v>
                </c:pt>
                <c:pt idx="2">
                  <c:v>0.1572871118940514</c:v>
                </c:pt>
                <c:pt idx="3">
                  <c:v>0.15205425295745523</c:v>
                </c:pt>
                <c:pt idx="4">
                  <c:v>0.15335071308081583</c:v>
                </c:pt>
                <c:pt idx="5">
                  <c:v>0.157254957462534</c:v>
                </c:pt>
                <c:pt idx="6">
                  <c:v>0.1642278826099095</c:v>
                </c:pt>
                <c:pt idx="7">
                  <c:v>0.16346012390277392</c:v>
                </c:pt>
                <c:pt idx="8">
                  <c:v>0.15988743924277307</c:v>
                </c:pt>
                <c:pt idx="9">
                  <c:v>0.16469038208168643</c:v>
                </c:pt>
                <c:pt idx="10">
                  <c:v>0.15823035174607195</c:v>
                </c:pt>
                <c:pt idx="11">
                  <c:v>0.14378351953299112</c:v>
                </c:pt>
                <c:pt idx="12">
                  <c:v>0.14115720678119223</c:v>
                </c:pt>
              </c:numCache>
            </c:numRef>
          </c:val>
          <c:smooth val="0"/>
        </c:ser>
        <c:marker val="1"/>
        <c:axId val="66747603"/>
        <c:axId val="63857516"/>
      </c:lineChart>
      <c:dateAx>
        <c:axId val="6674760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400" b="0" i="1" u="none" baseline="0">
                <a:solidFill>
                  <a:srgbClr val="800000"/>
                </a:solidFill>
              </a:defRPr>
            </a:pPr>
          </a:p>
        </c:txPr>
        <c:crossAx val="63857516"/>
        <c:crossesAt val="0.089"/>
        <c:auto val="0"/>
        <c:noMultiLvlLbl val="0"/>
      </c:dateAx>
      <c:valAx>
        <c:axId val="63857516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66747603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0925"/>
          <c:w val="0.954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'[5]Int reser chart'!$AG$2:$AS$2</c:f>
              <c:numCache>
                <c:ptCount val="13"/>
                <c:pt idx="0">
                  <c:v>38564</c:v>
                </c:pt>
                <c:pt idx="1">
                  <c:v>38595</c:v>
                </c:pt>
                <c:pt idx="2">
                  <c:v>38625</c:v>
                </c:pt>
                <c:pt idx="3">
                  <c:v>38656</c:v>
                </c:pt>
                <c:pt idx="4">
                  <c:v>38686</c:v>
                </c:pt>
                <c:pt idx="5">
                  <c:v>38717</c:v>
                </c:pt>
                <c:pt idx="6">
                  <c:v>38748</c:v>
                </c:pt>
                <c:pt idx="7">
                  <c:v>38776</c:v>
                </c:pt>
                <c:pt idx="8">
                  <c:v>38807</c:v>
                </c:pt>
                <c:pt idx="9">
                  <c:v>38837</c:v>
                </c:pt>
                <c:pt idx="10">
                  <c:v>38868</c:v>
                </c:pt>
                <c:pt idx="11">
                  <c:v>38898</c:v>
                </c:pt>
                <c:pt idx="12">
                  <c:v>38929</c:v>
                </c:pt>
              </c:numCache>
            </c:numRef>
          </c:cat>
          <c:val>
            <c:numRef>
              <c:f>'[5]Int reser chart'!$AG$3:$AS$3</c:f>
              <c:numCache>
                <c:ptCount val="13"/>
                <c:pt idx="0">
                  <c:v>2354.6779455899996</c:v>
                </c:pt>
                <c:pt idx="1">
                  <c:v>2159.0558769699996</c:v>
                </c:pt>
                <c:pt idx="2">
                  <c:v>1818.2111408299995</c:v>
                </c:pt>
                <c:pt idx="3">
                  <c:v>2244.9941214600003</c:v>
                </c:pt>
                <c:pt idx="4">
                  <c:v>1902.2269241000001</c:v>
                </c:pt>
                <c:pt idx="5">
                  <c:v>1983.9336482200001</c:v>
                </c:pt>
                <c:pt idx="6">
                  <c:v>2705.4959120600006</c:v>
                </c:pt>
                <c:pt idx="7">
                  <c:v>2695.67261662</c:v>
                </c:pt>
                <c:pt idx="8">
                  <c:v>2457.74191965</c:v>
                </c:pt>
                <c:pt idx="9">
                  <c:v>3129.66725862</c:v>
                </c:pt>
                <c:pt idx="10">
                  <c:v>2973.0466378130004</c:v>
                </c:pt>
                <c:pt idx="11">
                  <c:v>2677.9226340200003</c:v>
                </c:pt>
                <c:pt idx="12">
                  <c:v>3313.1347334800002</c:v>
                </c:pt>
              </c:numCache>
            </c:numRef>
          </c:val>
        </c:ser>
        <c:axId val="37846733"/>
        <c:axId val="5076278"/>
      </c:barChart>
      <c:date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076278"/>
        <c:crosses val="autoZero"/>
        <c:auto val="0"/>
        <c:noMultiLvlLbl val="0"/>
      </c:dateAx>
      <c:valAx>
        <c:axId val="5076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37846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2533650</xdr:colOff>
      <xdr:row>1</xdr:row>
      <xdr:rowOff>400050</xdr:rowOff>
    </xdr:from>
    <xdr:to>
      <xdr:col>0</xdr:col>
      <xdr:colOff>4657725</xdr:colOff>
      <xdr:row>6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2533650" y="542925"/>
          <a:ext cx="2124075" cy="1905000"/>
          <a:chOff x="5228" y="2767"/>
          <a:chExt cx="1435" cy="135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8" y="2767"/>
            <a:ext cx="1435" cy="1350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85" y="2889"/>
            <a:ext cx="885" cy="1101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19050</xdr:rowOff>
    </xdr:from>
    <xdr:to>
      <xdr:col>11</xdr:col>
      <xdr:colOff>552450</xdr:colOff>
      <xdr:row>19</xdr:row>
      <xdr:rowOff>123825</xdr:rowOff>
    </xdr:to>
    <xdr:graphicFrame>
      <xdr:nvGraphicFramePr>
        <xdr:cNvPr id="1" name="Chart 106"/>
        <xdr:cNvGraphicFramePr/>
      </xdr:nvGraphicFramePr>
      <xdr:xfrm>
        <a:off x="762000" y="419100"/>
        <a:ext cx="6600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27</xdr:row>
      <xdr:rowOff>66675</xdr:rowOff>
    </xdr:from>
    <xdr:to>
      <xdr:col>12</xdr:col>
      <xdr:colOff>76200</xdr:colOff>
      <xdr:row>44</xdr:row>
      <xdr:rowOff>133350</xdr:rowOff>
    </xdr:to>
    <xdr:graphicFrame>
      <xdr:nvGraphicFramePr>
        <xdr:cNvPr id="2" name="Chart 107"/>
        <xdr:cNvGraphicFramePr/>
      </xdr:nvGraphicFramePr>
      <xdr:xfrm>
        <a:off x="771525" y="4438650"/>
        <a:ext cx="67341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30</xdr:row>
      <xdr:rowOff>66675</xdr:rowOff>
    </xdr:from>
    <xdr:to>
      <xdr:col>15</xdr:col>
      <xdr:colOff>247650</xdr:colOff>
      <xdr:row>50</xdr:row>
      <xdr:rowOff>142875</xdr:rowOff>
    </xdr:to>
    <xdr:graphicFrame>
      <xdr:nvGraphicFramePr>
        <xdr:cNvPr id="1" name="Chart 117"/>
        <xdr:cNvGraphicFramePr/>
      </xdr:nvGraphicFramePr>
      <xdr:xfrm>
        <a:off x="733425" y="5810250"/>
        <a:ext cx="80486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4</xdr:row>
      <xdr:rowOff>47625</xdr:rowOff>
    </xdr:from>
    <xdr:to>
      <xdr:col>15</xdr:col>
      <xdr:colOff>295275</xdr:colOff>
      <xdr:row>25</xdr:row>
      <xdr:rowOff>0</xdr:rowOff>
    </xdr:to>
    <xdr:graphicFrame>
      <xdr:nvGraphicFramePr>
        <xdr:cNvPr id="2" name="Chart 118"/>
        <xdr:cNvGraphicFramePr/>
      </xdr:nvGraphicFramePr>
      <xdr:xfrm>
        <a:off x="685800" y="800100"/>
        <a:ext cx="81438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55</xdr:row>
      <xdr:rowOff>161925</xdr:rowOff>
    </xdr:from>
    <xdr:to>
      <xdr:col>15</xdr:col>
      <xdr:colOff>247650</xdr:colOff>
      <xdr:row>77</xdr:row>
      <xdr:rowOff>152400</xdr:rowOff>
    </xdr:to>
    <xdr:graphicFrame>
      <xdr:nvGraphicFramePr>
        <xdr:cNvPr id="3" name="Chart 119"/>
        <xdr:cNvGraphicFramePr/>
      </xdr:nvGraphicFramePr>
      <xdr:xfrm>
        <a:off x="609600" y="10687050"/>
        <a:ext cx="81724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34</xdr:row>
      <xdr:rowOff>104775</xdr:rowOff>
    </xdr:from>
    <xdr:to>
      <xdr:col>14</xdr:col>
      <xdr:colOff>514350</xdr:colOff>
      <xdr:row>58</xdr:row>
      <xdr:rowOff>142875</xdr:rowOff>
    </xdr:to>
    <xdr:graphicFrame>
      <xdr:nvGraphicFramePr>
        <xdr:cNvPr id="1" name="Chart 9"/>
        <xdr:cNvGraphicFramePr/>
      </xdr:nvGraphicFramePr>
      <xdr:xfrm>
        <a:off x="1085850" y="5686425"/>
        <a:ext cx="79343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4</xdr:row>
      <xdr:rowOff>142875</xdr:rowOff>
    </xdr:from>
    <xdr:to>
      <xdr:col>14</xdr:col>
      <xdr:colOff>466725</xdr:colOff>
      <xdr:row>30</xdr:row>
      <xdr:rowOff>47625</xdr:rowOff>
    </xdr:to>
    <xdr:graphicFrame>
      <xdr:nvGraphicFramePr>
        <xdr:cNvPr id="2" name="Chart 25"/>
        <xdr:cNvGraphicFramePr/>
      </xdr:nvGraphicFramePr>
      <xdr:xfrm>
        <a:off x="1038225" y="828675"/>
        <a:ext cx="79343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17">
          <cell r="B117">
            <v>38534</v>
          </cell>
          <cell r="C117">
            <v>484.19</v>
          </cell>
          <cell r="D117">
            <v>66.66</v>
          </cell>
        </row>
        <row r="118">
          <cell r="B118">
            <v>38565</v>
          </cell>
          <cell r="C118">
            <v>482.53</v>
          </cell>
          <cell r="D118">
            <v>66.3</v>
          </cell>
        </row>
        <row r="119">
          <cell r="B119">
            <v>38596</v>
          </cell>
          <cell r="C119">
            <v>523.72</v>
          </cell>
          <cell r="D119">
            <v>65.64</v>
          </cell>
        </row>
        <row r="120">
          <cell r="B120">
            <v>38626</v>
          </cell>
          <cell r="C120">
            <v>520.07</v>
          </cell>
          <cell r="D120">
            <v>65.04</v>
          </cell>
        </row>
        <row r="121">
          <cell r="B121">
            <v>38657</v>
          </cell>
          <cell r="C121">
            <v>536.25</v>
          </cell>
          <cell r="D121">
            <v>69.98</v>
          </cell>
        </row>
        <row r="122">
          <cell r="B122">
            <v>38687</v>
          </cell>
          <cell r="C122">
            <v>581.68</v>
          </cell>
          <cell r="D122">
            <v>71.74</v>
          </cell>
        </row>
        <row r="123">
          <cell r="B123">
            <v>38718</v>
          </cell>
          <cell r="C123">
            <v>633</v>
          </cell>
          <cell r="D123">
            <v>74</v>
          </cell>
        </row>
        <row r="124">
          <cell r="B124">
            <v>38749</v>
          </cell>
          <cell r="C124">
            <v>621.84</v>
          </cell>
          <cell r="D124">
            <v>77.02</v>
          </cell>
        </row>
        <row r="125">
          <cell r="B125">
            <v>38777</v>
          </cell>
          <cell r="C125">
            <v>622</v>
          </cell>
          <cell r="D125">
            <v>77.02</v>
          </cell>
        </row>
        <row r="126">
          <cell r="B126">
            <v>38808</v>
          </cell>
          <cell r="C126">
            <v>655</v>
          </cell>
          <cell r="D126">
            <v>79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83">
          <cell r="D183">
            <v>38535</v>
          </cell>
          <cell r="F183">
            <v>7</v>
          </cell>
          <cell r="K183">
            <v>6.13</v>
          </cell>
          <cell r="L183">
            <v>10.52</v>
          </cell>
        </row>
        <row r="184">
          <cell r="D184">
            <v>38566</v>
          </cell>
          <cell r="F184">
            <v>7</v>
          </cell>
          <cell r="K184">
            <v>6.06</v>
          </cell>
          <cell r="L184">
            <v>10.5</v>
          </cell>
        </row>
        <row r="185">
          <cell r="D185">
            <v>38597</v>
          </cell>
          <cell r="F185">
            <v>7</v>
          </cell>
          <cell r="K185">
            <v>6.13</v>
          </cell>
          <cell r="L185">
            <v>10.77</v>
          </cell>
        </row>
        <row r="186">
          <cell r="D186">
            <v>38627</v>
          </cell>
          <cell r="F186">
            <v>7</v>
          </cell>
          <cell r="K186">
            <v>5.98</v>
          </cell>
          <cell r="L186">
            <v>10.55</v>
          </cell>
        </row>
        <row r="187">
          <cell r="D187">
            <v>38658</v>
          </cell>
          <cell r="F187">
            <v>7</v>
          </cell>
          <cell r="K187">
            <v>6.02</v>
          </cell>
          <cell r="L187">
            <v>10.54</v>
          </cell>
        </row>
        <row r="188">
          <cell r="D188">
            <v>38688</v>
          </cell>
          <cell r="F188">
            <v>7</v>
          </cell>
          <cell r="K188">
            <v>5.99</v>
          </cell>
          <cell r="L188">
            <v>10.78</v>
          </cell>
        </row>
        <row r="189">
          <cell r="D189">
            <v>38719</v>
          </cell>
          <cell r="F189">
            <v>7</v>
          </cell>
          <cell r="K189">
            <v>6.09</v>
          </cell>
          <cell r="L189">
            <v>10.46</v>
          </cell>
        </row>
        <row r="190">
          <cell r="D190">
            <v>38750</v>
          </cell>
          <cell r="F190">
            <v>7</v>
          </cell>
          <cell r="K190">
            <v>6.1</v>
          </cell>
          <cell r="L190">
            <v>10.69</v>
          </cell>
        </row>
        <row r="191">
          <cell r="D191">
            <v>38778</v>
          </cell>
          <cell r="F191">
            <v>7</v>
          </cell>
          <cell r="K191">
            <v>6.11</v>
          </cell>
          <cell r="L191">
            <v>10.78</v>
          </cell>
        </row>
        <row r="192">
          <cell r="D192">
            <v>38809</v>
          </cell>
          <cell r="F192">
            <v>7</v>
          </cell>
          <cell r="K192">
            <v>6.31</v>
          </cell>
          <cell r="L192">
            <v>10.58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11">
          <cell r="B11">
            <v>38564</v>
          </cell>
          <cell r="C11">
            <v>4.2</v>
          </cell>
          <cell r="D11">
            <v>1.7</v>
          </cell>
        </row>
        <row r="12">
          <cell r="B12">
            <v>38595</v>
          </cell>
          <cell r="C12">
            <v>4.8</v>
          </cell>
          <cell r="D12">
            <v>2.2</v>
          </cell>
        </row>
        <row r="13">
          <cell r="B13">
            <v>38625</v>
          </cell>
          <cell r="C13">
            <v>4.7</v>
          </cell>
          <cell r="D13">
            <v>2.9</v>
          </cell>
        </row>
        <row r="14">
          <cell r="B14">
            <v>38656</v>
          </cell>
          <cell r="C14">
            <v>4.4</v>
          </cell>
          <cell r="D14">
            <v>2.9</v>
          </cell>
        </row>
        <row r="15">
          <cell r="B15">
            <v>38686</v>
          </cell>
          <cell r="C15">
            <v>3.7</v>
          </cell>
          <cell r="D15">
            <v>3.4</v>
          </cell>
        </row>
        <row r="16">
          <cell r="B16">
            <v>38717</v>
          </cell>
          <cell r="C16">
            <v>4</v>
          </cell>
          <cell r="D16">
            <v>3.4</v>
          </cell>
        </row>
        <row r="17">
          <cell r="B17">
            <v>38748</v>
          </cell>
          <cell r="C17">
            <v>4.3</v>
          </cell>
          <cell r="D17">
            <v>3.6</v>
          </cell>
        </row>
        <row r="18">
          <cell r="B18">
            <v>38776</v>
          </cell>
          <cell r="C18">
            <v>4.5</v>
          </cell>
          <cell r="D18">
            <v>3.7</v>
          </cell>
        </row>
        <row r="19">
          <cell r="B19">
            <v>38807</v>
          </cell>
          <cell r="C19">
            <v>3.8</v>
          </cell>
          <cell r="D19">
            <v>4.6</v>
          </cell>
        </row>
        <row r="20">
          <cell r="B20">
            <v>38837</v>
          </cell>
          <cell r="C20">
            <v>3.7</v>
          </cell>
          <cell r="D20">
            <v>4.4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F7">
            <v>38564</v>
          </cell>
          <cell r="AG7">
            <v>38595</v>
          </cell>
          <cell r="AH7">
            <v>38625</v>
          </cell>
          <cell r="AI7">
            <v>38656</v>
          </cell>
          <cell r="AJ7">
            <v>38686</v>
          </cell>
          <cell r="AK7">
            <v>38717</v>
          </cell>
          <cell r="AL7">
            <v>38748</v>
          </cell>
          <cell r="AM7">
            <v>38776</v>
          </cell>
          <cell r="AN7">
            <v>38807</v>
          </cell>
          <cell r="AO7">
            <v>38837</v>
          </cell>
          <cell r="AP7">
            <v>38868</v>
          </cell>
          <cell r="AQ7">
            <v>38898</v>
          </cell>
          <cell r="AR7">
            <v>38929</v>
          </cell>
        </row>
        <row r="8">
          <cell r="AF8">
            <v>2.763992223628391</v>
          </cell>
          <cell r="AG8">
            <v>-1.424840740354556</v>
          </cell>
          <cell r="AH8">
            <v>-1.3146594771492166</v>
          </cell>
          <cell r="AI8">
            <v>1.34119491990188</v>
          </cell>
          <cell r="AJ8">
            <v>-0.4486893890779177</v>
          </cell>
          <cell r="AK8">
            <v>-0.15856097406308428</v>
          </cell>
          <cell r="AL8">
            <v>0.874541710785246</v>
          </cell>
          <cell r="AM8">
            <v>2.441095632286411</v>
          </cell>
          <cell r="AN8">
            <v>7.30664569346007</v>
          </cell>
          <cell r="AO8">
            <v>2.018408013252184</v>
          </cell>
          <cell r="AP8">
            <v>3.053687786141357</v>
          </cell>
          <cell r="AQ8">
            <v>4.218696831444213</v>
          </cell>
          <cell r="AR8">
            <v>2.064092169580869</v>
          </cell>
        </row>
        <row r="9">
          <cell r="AF9">
            <v>5.012505595355692</v>
          </cell>
          <cell r="AG9">
            <v>-1.30267835378685</v>
          </cell>
          <cell r="AH9">
            <v>-2.461677429800435</v>
          </cell>
          <cell r="AI9">
            <v>-0.13648173676990139</v>
          </cell>
          <cell r="AJ9">
            <v>-2.7387206868691725</v>
          </cell>
          <cell r="AK9">
            <v>0.599055108398417</v>
          </cell>
          <cell r="AL9">
            <v>3.4969366714066834</v>
          </cell>
          <cell r="AM9">
            <v>4.967757419233871</v>
          </cell>
          <cell r="AN9">
            <v>9.25840878158208</v>
          </cell>
          <cell r="AO9">
            <v>0.06528293651520134</v>
          </cell>
          <cell r="AP9">
            <v>4.073994220362538</v>
          </cell>
          <cell r="AQ9">
            <v>1.5601745047783908</v>
          </cell>
          <cell r="AR9">
            <v>3.1219530629032963</v>
          </cell>
        </row>
      </sheetData>
      <sheetData sheetId="8">
        <row r="2">
          <cell r="AG2">
            <v>38564</v>
          </cell>
          <cell r="AH2">
            <v>38595</v>
          </cell>
          <cell r="AI2">
            <v>38625</v>
          </cell>
          <cell r="AJ2">
            <v>38656</v>
          </cell>
          <cell r="AK2">
            <v>38686</v>
          </cell>
          <cell r="AL2">
            <v>38717</v>
          </cell>
          <cell r="AM2">
            <v>38748</v>
          </cell>
          <cell r="AN2">
            <v>38776</v>
          </cell>
          <cell r="AO2">
            <v>38807</v>
          </cell>
          <cell r="AP2">
            <v>38837</v>
          </cell>
          <cell r="AQ2">
            <v>38868</v>
          </cell>
          <cell r="AR2">
            <v>38898</v>
          </cell>
          <cell r="AS2">
            <v>38929</v>
          </cell>
        </row>
        <row r="3">
          <cell r="AG3">
            <v>2354.6779455899996</v>
          </cell>
          <cell r="AH3">
            <v>2159.0558769699996</v>
          </cell>
          <cell r="AI3">
            <v>1818.2111408299995</v>
          </cell>
          <cell r="AJ3">
            <v>2244.9941214600003</v>
          </cell>
          <cell r="AK3">
            <v>1902.2269241000001</v>
          </cell>
          <cell r="AL3">
            <v>1983.9336482200001</v>
          </cell>
          <cell r="AM3">
            <v>2705.4959120600006</v>
          </cell>
          <cell r="AN3">
            <v>2695.67261662</v>
          </cell>
          <cell r="AO3">
            <v>2457.74191965</v>
          </cell>
          <cell r="AP3">
            <v>3129.66725862</v>
          </cell>
          <cell r="AQ3">
            <v>2973.0466378130004</v>
          </cell>
          <cell r="AR3">
            <v>2677.9226340200003</v>
          </cell>
          <cell r="AS3">
            <v>3313.1347334800002</v>
          </cell>
        </row>
      </sheetData>
      <sheetData sheetId="9">
        <row r="10">
          <cell r="AE10">
            <v>38564</v>
          </cell>
          <cell r="AF10">
            <v>38595</v>
          </cell>
          <cell r="AG10">
            <v>38625</v>
          </cell>
          <cell r="AH10">
            <v>38656</v>
          </cell>
          <cell r="AI10">
            <v>38686</v>
          </cell>
          <cell r="AJ10">
            <v>38717</v>
          </cell>
          <cell r="AK10">
            <v>38748</v>
          </cell>
          <cell r="AL10">
            <v>38776</v>
          </cell>
          <cell r="AM10">
            <v>38807</v>
          </cell>
          <cell r="AN10">
            <v>38837</v>
          </cell>
          <cell r="AO10">
            <v>38868</v>
          </cell>
          <cell r="AP10">
            <v>38898</v>
          </cell>
          <cell r="AQ10">
            <v>38929</v>
          </cell>
        </row>
        <row r="11">
          <cell r="B11" t="str">
            <v>Dom claims</v>
          </cell>
          <cell r="AE11">
            <v>-0.2036036993568962</v>
          </cell>
          <cell r="AF11">
            <v>2.3140521293458534</v>
          </cell>
          <cell r="AG11">
            <v>1.8488089477053462</v>
          </cell>
          <cell r="AH11">
            <v>-0.7710777670767199</v>
          </cell>
          <cell r="AI11">
            <v>2.6341312087753592</v>
          </cell>
          <cell r="AJ11">
            <v>6.692637054627848</v>
          </cell>
          <cell r="AK11">
            <v>-5.585811702912533</v>
          </cell>
          <cell r="AL11">
            <v>2.854429245382314</v>
          </cell>
          <cell r="AM11">
            <v>0.8100890367547707</v>
          </cell>
          <cell r="AN11">
            <v>-2.739376001603576</v>
          </cell>
          <cell r="AO11">
            <v>4.374669762710496</v>
          </cell>
          <cell r="AP11">
            <v>2.6579112339420976</v>
          </cell>
          <cell r="AQ11">
            <v>-1.7217054446794489</v>
          </cell>
        </row>
        <row r="12">
          <cell r="B12" t="str">
            <v>Other Sectors Claims</v>
          </cell>
          <cell r="AE12">
            <v>2.1789362471443208</v>
          </cell>
          <cell r="AF12">
            <v>0.5735690330321129</v>
          </cell>
          <cell r="AG12">
            <v>1.5816507791504064</v>
          </cell>
          <cell r="AH12">
            <v>1.2024642589187624</v>
          </cell>
          <cell r="AI12">
            <v>2.0815416347880524</v>
          </cell>
          <cell r="AJ12">
            <v>5.581722051509344</v>
          </cell>
          <cell r="AK12">
            <v>-3.188096393159089</v>
          </cell>
          <cell r="AL12">
            <v>2.882356604278192</v>
          </cell>
          <cell r="AM12">
            <v>-0.23208471129762012</v>
          </cell>
          <cell r="AN12">
            <v>1.9381062631188901</v>
          </cell>
          <cell r="AO12">
            <v>1.673006597960738</v>
          </cell>
          <cell r="AP12">
            <v>0.5301595046702494</v>
          </cell>
          <cell r="AQ12">
            <v>2.723141408263861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2"/>
  <sheetViews>
    <sheetView workbookViewId="0" topLeftCell="A19">
      <selection activeCell="A3" sqref="A3:A22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151</v>
      </c>
    </row>
    <row r="2" ht="37.5">
      <c r="A2" s="34"/>
    </row>
    <row r="3" ht="37.5">
      <c r="A3" s="34"/>
    </row>
    <row r="4" ht="33">
      <c r="A4" s="35"/>
    </row>
    <row r="5" ht="37.5">
      <c r="A5" s="34"/>
    </row>
    <row r="6" ht="33">
      <c r="A6" s="35"/>
    </row>
    <row r="7" ht="36.75">
      <c r="A7" s="36"/>
    </row>
    <row r="8" ht="37.5">
      <c r="A8" s="36"/>
    </row>
    <row r="9" ht="37.5">
      <c r="A9" s="36"/>
    </row>
    <row r="11" ht="40.5">
      <c r="A11" s="37" t="s">
        <v>49</v>
      </c>
    </row>
    <row r="12" ht="40.5">
      <c r="A12" s="37"/>
    </row>
    <row r="13" ht="40.5">
      <c r="A13" s="37"/>
    </row>
    <row r="14" ht="40.5">
      <c r="A14" s="37"/>
    </row>
    <row r="15" ht="40.5">
      <c r="A15" s="37" t="s">
        <v>50</v>
      </c>
    </row>
    <row r="16" ht="40.5">
      <c r="A16" s="37"/>
    </row>
    <row r="17" ht="40.5">
      <c r="A17" s="37"/>
    </row>
    <row r="18" ht="40.5">
      <c r="A18" s="37" t="s">
        <v>51</v>
      </c>
    </row>
    <row r="19" ht="40.5">
      <c r="A19" s="37"/>
    </row>
    <row r="20" ht="40.5">
      <c r="A20" s="37"/>
    </row>
    <row r="21" ht="40.5">
      <c r="A21" s="39">
        <v>38929</v>
      </c>
    </row>
    <row r="22" ht="40.5">
      <c r="A22" s="38"/>
    </row>
  </sheetData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5"/>
  <sheetViews>
    <sheetView workbookViewId="0" topLeftCell="A1">
      <selection activeCell="B2" sqref="B2:F55"/>
    </sheetView>
  </sheetViews>
  <sheetFormatPr defaultColWidth="9.140625" defaultRowHeight="12"/>
  <cols>
    <col min="2" max="2" width="43.28125" style="0" bestFit="1" customWidth="1"/>
    <col min="3" max="3" width="9.7109375" style="0" customWidth="1"/>
    <col min="4" max="4" width="11.140625" style="0" customWidth="1"/>
    <col min="5" max="5" width="17.7109375" style="0" customWidth="1"/>
    <col min="6" max="6" width="13.421875" style="0" customWidth="1"/>
  </cols>
  <sheetData>
    <row r="1" ht="12" thickBot="1"/>
    <row r="2" spans="2:6" ht="11.25">
      <c r="B2" s="189" t="s">
        <v>119</v>
      </c>
      <c r="C2" s="190"/>
      <c r="D2" s="190"/>
      <c r="E2" s="190"/>
      <c r="F2" s="190"/>
    </row>
    <row r="3" spans="2:6" ht="11.25">
      <c r="B3" s="50"/>
      <c r="C3" s="29" t="s">
        <v>154</v>
      </c>
      <c r="D3" s="29"/>
      <c r="E3" s="98"/>
      <c r="F3" s="98" t="s">
        <v>115</v>
      </c>
    </row>
    <row r="4" spans="2:6" ht="11.25">
      <c r="B4" s="51"/>
      <c r="C4" s="16">
        <v>38898</v>
      </c>
      <c r="D4" s="16">
        <v>38929</v>
      </c>
      <c r="E4" s="100" t="s">
        <v>46</v>
      </c>
      <c r="F4" s="100" t="s">
        <v>46</v>
      </c>
    </row>
    <row r="5" spans="2:6" ht="11.25">
      <c r="B5" s="31"/>
      <c r="C5" s="44"/>
      <c r="D5" s="44"/>
      <c r="E5" s="45"/>
      <c r="F5" s="45"/>
    </row>
    <row r="6" spans="2:9" ht="11.25">
      <c r="B6" s="52" t="s">
        <v>1</v>
      </c>
      <c r="C6" s="102">
        <v>1458.9743859700002</v>
      </c>
      <c r="D6" s="102">
        <v>2295.9110635600005</v>
      </c>
      <c r="E6" s="102">
        <v>836.9366775900003</v>
      </c>
      <c r="F6" s="102">
        <v>57.364727279537696</v>
      </c>
      <c r="I6" s="93"/>
    </row>
    <row r="7" spans="2:6" ht="11.25">
      <c r="B7" s="52" t="s">
        <v>85</v>
      </c>
      <c r="C7" s="102">
        <v>27661.893977959997</v>
      </c>
      <c r="D7" s="102">
        <v>27185.637643240003</v>
      </c>
      <c r="E7" s="105">
        <v>-476.2563347199939</v>
      </c>
      <c r="F7" s="102">
        <v>-1.7217054446794489</v>
      </c>
    </row>
    <row r="8" spans="2:6" ht="11.25">
      <c r="B8" s="54" t="s">
        <v>102</v>
      </c>
      <c r="C8" s="103">
        <v>610.4449210899998</v>
      </c>
      <c r="D8" s="103">
        <v>-369.36468526</v>
      </c>
      <c r="E8" s="106">
        <v>-979.8096063499997</v>
      </c>
      <c r="F8" s="103">
        <v>-160.50745489051968</v>
      </c>
    </row>
    <row r="9" spans="2:6" ht="11.25">
      <c r="B9" s="54" t="s">
        <v>52</v>
      </c>
      <c r="C9" s="103">
        <v>27051.44905687</v>
      </c>
      <c r="D9" s="103">
        <v>27555.002328500002</v>
      </c>
      <c r="E9" s="106">
        <v>503.553271630004</v>
      </c>
      <c r="F9" s="103">
        <v>1.861465057089507</v>
      </c>
    </row>
    <row r="10" spans="2:6" ht="11.25">
      <c r="B10" s="80" t="s">
        <v>104</v>
      </c>
      <c r="C10" s="103">
        <v>830.969</v>
      </c>
      <c r="D10" s="103">
        <v>625.327</v>
      </c>
      <c r="E10" s="106">
        <v>-205.64200000000005</v>
      </c>
      <c r="F10" s="103">
        <v>-24.747252905944748</v>
      </c>
    </row>
    <row r="11" spans="2:6" ht="11.25">
      <c r="B11" s="80" t="s">
        <v>105</v>
      </c>
      <c r="C11" s="103">
        <v>24.952</v>
      </c>
      <c r="D11" s="103">
        <v>20.806</v>
      </c>
      <c r="E11" s="106">
        <v>-4.146000000000001</v>
      </c>
      <c r="F11" s="103">
        <v>-16.6159025328631</v>
      </c>
    </row>
    <row r="12" spans="2:6" ht="11.25">
      <c r="B12" s="80" t="s">
        <v>106</v>
      </c>
      <c r="C12" s="103">
        <v>404.944</v>
      </c>
      <c r="D12" s="103">
        <v>402.979</v>
      </c>
      <c r="E12" s="106">
        <v>-1.9650000000000318</v>
      </c>
      <c r="F12" s="103">
        <v>-0.48525228179699703</v>
      </c>
    </row>
    <row r="13" spans="2:6" ht="11.25">
      <c r="B13" s="80" t="s">
        <v>107</v>
      </c>
      <c r="C13" s="103">
        <v>9033.559</v>
      </c>
      <c r="D13" s="103">
        <v>9385.065999999999</v>
      </c>
      <c r="E13" s="106">
        <v>351.5069999999996</v>
      </c>
      <c r="F13" s="103">
        <v>3.89112419590108</v>
      </c>
    </row>
    <row r="14" spans="2:9" ht="11.25">
      <c r="B14" s="80" t="s">
        <v>108</v>
      </c>
      <c r="C14" s="103">
        <v>16757.02505687</v>
      </c>
      <c r="D14" s="103">
        <v>17120.824328500003</v>
      </c>
      <c r="E14" s="106">
        <v>363.7992716300032</v>
      </c>
      <c r="F14" s="103">
        <v>2.1710254081219134</v>
      </c>
      <c r="G14" s="90"/>
      <c r="H14" s="90"/>
      <c r="I14" s="93"/>
    </row>
    <row r="15" spans="2:6" ht="11.25">
      <c r="B15" s="52" t="s">
        <v>47</v>
      </c>
      <c r="C15" s="102">
        <v>-8572.076399300002</v>
      </c>
      <c r="D15" s="102">
        <v>-8508.596154600002</v>
      </c>
      <c r="E15" s="105">
        <v>63.480244700000185</v>
      </c>
      <c r="F15" s="102">
        <v>-0.7405468843602934</v>
      </c>
    </row>
    <row r="16" spans="2:6" ht="12" thickBot="1">
      <c r="B16" s="55" t="s">
        <v>55</v>
      </c>
      <c r="C16" s="104">
        <v>20548.791964629992</v>
      </c>
      <c r="D16" s="104">
        <v>20972.952552200004</v>
      </c>
      <c r="E16" s="107">
        <v>424.16058757001156</v>
      </c>
      <c r="F16" s="104">
        <v>2.064163130855119</v>
      </c>
    </row>
    <row r="17" spans="2:8" ht="12" thickBot="1">
      <c r="B17" s="57"/>
      <c r="C17" s="46"/>
      <c r="D17" s="46"/>
      <c r="E17" s="46"/>
      <c r="F17" s="46"/>
      <c r="H17" s="90"/>
    </row>
    <row r="18" spans="2:6" ht="11.25">
      <c r="B18" s="189" t="s">
        <v>120</v>
      </c>
      <c r="C18" s="190"/>
      <c r="D18" s="190"/>
      <c r="E18" s="190"/>
      <c r="F18" s="190"/>
    </row>
    <row r="19" spans="2:6" ht="11.25">
      <c r="B19" s="50"/>
      <c r="C19" s="29" t="s">
        <v>154</v>
      </c>
      <c r="D19" s="29"/>
      <c r="E19" s="98"/>
      <c r="F19" s="98" t="s">
        <v>116</v>
      </c>
    </row>
    <row r="20" spans="2:6" ht="11.25">
      <c r="B20" s="51"/>
      <c r="C20" s="16">
        <v>38898</v>
      </c>
      <c r="D20" s="16">
        <v>38929</v>
      </c>
      <c r="E20" s="100" t="s">
        <v>46</v>
      </c>
      <c r="F20" s="100" t="s">
        <v>117</v>
      </c>
    </row>
    <row r="21" spans="2:6" ht="11.25">
      <c r="B21" s="58"/>
      <c r="C21" s="47"/>
      <c r="D21" s="47"/>
      <c r="E21" s="47"/>
      <c r="F21" s="47"/>
    </row>
    <row r="22" spans="2:6" ht="11.25">
      <c r="B22" s="52" t="s">
        <v>55</v>
      </c>
      <c r="C22" s="102">
        <v>20548.77707638</v>
      </c>
      <c r="D22" s="102">
        <v>20972.97514111</v>
      </c>
      <c r="E22" s="102">
        <v>424.1980647300006</v>
      </c>
      <c r="F22" s="102">
        <v>2.064347007869385</v>
      </c>
    </row>
    <row r="23" spans="2:7" ht="11.25">
      <c r="B23" s="54" t="s">
        <v>56</v>
      </c>
      <c r="C23" s="103">
        <v>726.73722225</v>
      </c>
      <c r="D23" s="103">
        <v>727.4090887499999</v>
      </c>
      <c r="E23" s="103">
        <v>0.6718664999999646</v>
      </c>
      <c r="F23" s="103">
        <v>0.0924497162701872</v>
      </c>
      <c r="G23" s="90"/>
    </row>
    <row r="24" spans="2:6" ht="11.25">
      <c r="B24" s="54" t="s">
        <v>57</v>
      </c>
      <c r="C24" s="103">
        <v>11366.50959386</v>
      </c>
      <c r="D24" s="103">
        <v>11743.383216740001</v>
      </c>
      <c r="E24" s="103">
        <v>376.87362288000077</v>
      </c>
      <c r="F24" s="103">
        <v>3.315649538391114</v>
      </c>
    </row>
    <row r="25" spans="2:6" ht="11.25">
      <c r="B25" s="54" t="s">
        <v>58</v>
      </c>
      <c r="C25" s="103">
        <v>8446.030260270001</v>
      </c>
      <c r="D25" s="103">
        <v>8494.18283562</v>
      </c>
      <c r="E25" s="103">
        <v>48.1525753499991</v>
      </c>
      <c r="F25" s="103">
        <v>0.570120800732956</v>
      </c>
    </row>
    <row r="26" spans="2:6" ht="12" thickBot="1">
      <c r="B26" s="59"/>
      <c r="C26" s="18"/>
      <c r="D26" s="18"/>
      <c r="E26" s="18"/>
      <c r="F26" s="18"/>
    </row>
    <row r="27" spans="2:6" ht="11.25">
      <c r="B27" s="64"/>
      <c r="C27" s="32"/>
      <c r="D27" s="32"/>
      <c r="E27" s="32"/>
      <c r="F27" s="32"/>
    </row>
    <row r="28" spans="2:6" ht="11.25">
      <c r="B28" s="64"/>
      <c r="C28" s="32"/>
      <c r="D28" s="32"/>
      <c r="E28" s="32"/>
      <c r="F28" s="32"/>
    </row>
    <row r="29" spans="2:6" ht="12" thickBot="1">
      <c r="B29" s="60"/>
      <c r="C29" s="46"/>
      <c r="D29" s="46"/>
      <c r="E29" s="46"/>
      <c r="F29" s="46"/>
    </row>
    <row r="30" spans="2:6" ht="11.25">
      <c r="B30" s="189" t="s">
        <v>121</v>
      </c>
      <c r="C30" s="190"/>
      <c r="D30" s="190"/>
      <c r="E30" s="190"/>
      <c r="F30" s="190"/>
    </row>
    <row r="31" spans="2:6" ht="11.25">
      <c r="B31" s="50"/>
      <c r="C31" s="29" t="s">
        <v>154</v>
      </c>
      <c r="D31" s="29"/>
      <c r="E31" s="96"/>
      <c r="F31" s="98" t="s">
        <v>115</v>
      </c>
    </row>
    <row r="32" spans="2:6" ht="11.25">
      <c r="B32" s="51"/>
      <c r="C32" s="16">
        <v>38898</v>
      </c>
      <c r="D32" s="16">
        <v>38929</v>
      </c>
      <c r="E32" s="97" t="s">
        <v>46</v>
      </c>
      <c r="F32" s="99" t="s">
        <v>46</v>
      </c>
    </row>
    <row r="33" spans="2:6" ht="11.25">
      <c r="B33" s="49"/>
      <c r="C33" s="48"/>
      <c r="D33" s="48"/>
      <c r="E33" s="49"/>
      <c r="F33" s="49"/>
    </row>
    <row r="34" spans="2:6" ht="11.25">
      <c r="B34" s="61" t="s">
        <v>122</v>
      </c>
      <c r="C34" s="181">
        <v>25741.88749525</v>
      </c>
      <c r="D34" s="188">
        <v>26459.50487563</v>
      </c>
      <c r="E34" s="181">
        <v>717.6173803799975</v>
      </c>
      <c r="F34" s="108">
        <v>2.787741887662337</v>
      </c>
    </row>
    <row r="35" spans="2:6" ht="11.25">
      <c r="B35" s="172" t="s">
        <v>53</v>
      </c>
      <c r="C35" s="182">
        <v>0</v>
      </c>
      <c r="D35" s="183">
        <v>0</v>
      </c>
      <c r="E35" s="182">
        <v>0</v>
      </c>
      <c r="F35" s="109">
        <v>0</v>
      </c>
    </row>
    <row r="36" spans="2:6" ht="11.25">
      <c r="B36" s="172" t="s">
        <v>59</v>
      </c>
      <c r="C36" s="182">
        <v>8957.71</v>
      </c>
      <c r="D36" s="183">
        <v>9311.793</v>
      </c>
      <c r="E36" s="182">
        <v>354.08300000000054</v>
      </c>
      <c r="F36" s="109">
        <v>3.9528294619941993</v>
      </c>
    </row>
    <row r="37" spans="2:6" ht="11.25">
      <c r="B37" s="62" t="s">
        <v>123</v>
      </c>
      <c r="C37" s="183">
        <v>7127.913</v>
      </c>
      <c r="D37" s="183">
        <v>7455.464</v>
      </c>
      <c r="E37" s="182">
        <v>327.5510000000004</v>
      </c>
      <c r="F37" s="109">
        <v>4.595328253866179</v>
      </c>
    </row>
    <row r="38" spans="2:6" ht="11.25">
      <c r="B38" s="63" t="s">
        <v>124</v>
      </c>
      <c r="C38" s="173">
        <v>746.328</v>
      </c>
      <c r="D38" s="173">
        <v>786.423</v>
      </c>
      <c r="E38" s="182">
        <v>40.095</v>
      </c>
      <c r="F38" s="109">
        <v>5.3723027944817865</v>
      </c>
    </row>
    <row r="39" spans="2:6" ht="11.25">
      <c r="B39" s="63" t="s">
        <v>125</v>
      </c>
      <c r="C39" s="173">
        <v>2538.889</v>
      </c>
      <c r="D39" s="173">
        <v>2651.866</v>
      </c>
      <c r="E39" s="182">
        <v>112.97699999999986</v>
      </c>
      <c r="F39" s="109">
        <v>4.449859761494097</v>
      </c>
    </row>
    <row r="40" spans="2:6" ht="11.25">
      <c r="B40" s="63" t="s">
        <v>126</v>
      </c>
      <c r="C40" s="173">
        <v>3842.696</v>
      </c>
      <c r="D40" s="173">
        <v>4017.175</v>
      </c>
      <c r="E40" s="182">
        <v>174.47900000000027</v>
      </c>
      <c r="F40" s="109">
        <v>4.540536123596565</v>
      </c>
    </row>
    <row r="41" spans="2:6" ht="11.25">
      <c r="B41" s="62" t="s">
        <v>127</v>
      </c>
      <c r="C41" s="173">
        <v>1106.563</v>
      </c>
      <c r="D41" s="173">
        <v>1117.033</v>
      </c>
      <c r="E41" s="182">
        <v>10.4699999999998</v>
      </c>
      <c r="F41" s="109">
        <v>0.9461729698173352</v>
      </c>
    </row>
    <row r="42" spans="2:6" ht="11.25">
      <c r="B42" s="62" t="s">
        <v>128</v>
      </c>
      <c r="C42" s="173">
        <v>39.895</v>
      </c>
      <c r="D42" s="173">
        <v>41.17</v>
      </c>
      <c r="E42" s="182">
        <v>1.275</v>
      </c>
      <c r="F42" s="109">
        <v>3.1958892091740783</v>
      </c>
    </row>
    <row r="43" spans="2:6" ht="11.25">
      <c r="B43" s="62" t="s">
        <v>129</v>
      </c>
      <c r="C43" s="173">
        <v>683.339</v>
      </c>
      <c r="D43" s="173">
        <v>698.126</v>
      </c>
      <c r="E43" s="182">
        <v>14.78699999999992</v>
      </c>
      <c r="F43" s="109">
        <v>2.1639332746996613</v>
      </c>
    </row>
    <row r="44" spans="2:7" ht="11.25">
      <c r="B44" s="172" t="s">
        <v>93</v>
      </c>
      <c r="C44" s="174">
        <v>16738.58649525</v>
      </c>
      <c r="D44" s="174">
        <v>17101.03287563</v>
      </c>
      <c r="E44" s="182">
        <v>362.446380379999</v>
      </c>
      <c r="F44" s="109">
        <v>2.165334453317503</v>
      </c>
      <c r="G44" s="84"/>
    </row>
    <row r="45" spans="2:8" ht="11.25">
      <c r="B45" s="62" t="s">
        <v>130</v>
      </c>
      <c r="C45" s="174">
        <v>13245.22549525</v>
      </c>
      <c r="D45" s="174">
        <v>13556.877875630002</v>
      </c>
      <c r="E45" s="182">
        <v>311.652380380001</v>
      </c>
      <c r="F45" s="109">
        <v>2.352941295652276</v>
      </c>
      <c r="G45" s="84"/>
      <c r="H45" s="84"/>
    </row>
    <row r="46" spans="2:6" ht="11.25">
      <c r="B46" s="63" t="s">
        <v>124</v>
      </c>
      <c r="C46" s="173">
        <v>10746.94384561</v>
      </c>
      <c r="D46" s="173">
        <v>11000.26950571</v>
      </c>
      <c r="E46" s="182">
        <v>253.3256601000012</v>
      </c>
      <c r="F46" s="109">
        <v>2.3571879014095876</v>
      </c>
    </row>
    <row r="47" spans="2:6" ht="11.25">
      <c r="B47" s="63" t="s">
        <v>131</v>
      </c>
      <c r="C47" s="173">
        <v>1368.2696496399997</v>
      </c>
      <c r="D47" s="173">
        <v>1412.42636992</v>
      </c>
      <c r="E47" s="182">
        <v>44.1567202800004</v>
      </c>
      <c r="F47" s="109">
        <v>3.2271943100994975</v>
      </c>
    </row>
    <row r="48" spans="2:6" ht="11.25">
      <c r="B48" s="63" t="s">
        <v>126</v>
      </c>
      <c r="C48" s="173">
        <v>1130.012</v>
      </c>
      <c r="D48" s="173">
        <v>1144.182</v>
      </c>
      <c r="E48" s="182">
        <v>14.170000000000073</v>
      </c>
      <c r="F48" s="109">
        <v>1.2539689844001722</v>
      </c>
    </row>
    <row r="49" spans="2:7" ht="11.25">
      <c r="B49" s="62" t="s">
        <v>162</v>
      </c>
      <c r="C49" s="173">
        <v>3108.182</v>
      </c>
      <c r="D49" s="173">
        <v>3150.263</v>
      </c>
      <c r="E49" s="182">
        <v>42.08100000000013</v>
      </c>
      <c r="F49" s="109">
        <v>1.3538782477988782</v>
      </c>
      <c r="G49" s="84"/>
    </row>
    <row r="50" spans="2:6" ht="11.25">
      <c r="B50" s="62" t="s">
        <v>163</v>
      </c>
      <c r="C50" s="173">
        <v>59.193</v>
      </c>
      <c r="D50" s="173">
        <v>63.652</v>
      </c>
      <c r="E50" s="182">
        <v>4.459000000000003</v>
      </c>
      <c r="F50" s="109">
        <v>7.532985319210048</v>
      </c>
    </row>
    <row r="51" spans="2:6" ht="11.25">
      <c r="B51" s="62" t="s">
        <v>164</v>
      </c>
      <c r="C51" s="173">
        <v>325.986</v>
      </c>
      <c r="D51" s="173">
        <v>330.24</v>
      </c>
      <c r="E51" s="182">
        <v>4.254000000000019</v>
      </c>
      <c r="F51" s="109">
        <v>1.3049640168596257</v>
      </c>
    </row>
    <row r="52" spans="2:6" ht="12" thickBot="1">
      <c r="B52" s="186" t="s">
        <v>132</v>
      </c>
      <c r="C52" s="187">
        <v>45.591</v>
      </c>
      <c r="D52" s="187">
        <v>46.679</v>
      </c>
      <c r="E52" s="184">
        <v>1.088000000000001</v>
      </c>
      <c r="F52" s="175">
        <v>2.3864359193700535</v>
      </c>
    </row>
    <row r="53" ht="11.25">
      <c r="B53" s="101" t="s">
        <v>149</v>
      </c>
    </row>
    <row r="54" ht="11.25">
      <c r="B54" s="101" t="s">
        <v>160</v>
      </c>
    </row>
    <row r="55" ht="11.25">
      <c r="B55" s="92" t="s">
        <v>161</v>
      </c>
    </row>
  </sheetData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showGridLines="0" workbookViewId="0" topLeftCell="A1">
      <selection activeCell="B2" sqref="A2:M48"/>
    </sheetView>
  </sheetViews>
  <sheetFormatPr defaultColWidth="9.28125" defaultRowHeight="12"/>
  <cols>
    <col min="1" max="14" width="9.28125" style="1" customWidth="1"/>
    <col min="15" max="16384" width="9.28125" style="1" customWidth="1"/>
  </cols>
  <sheetData>
    <row r="2" spans="2:13" ht="15.75">
      <c r="B2" s="191" t="s">
        <v>165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193"/>
    </row>
    <row r="25" spans="1:12" ht="15.75">
      <c r="A25" s="191"/>
      <c r="B25" s="192"/>
      <c r="C25" s="192"/>
      <c r="D25" s="192"/>
      <c r="E25" s="192"/>
      <c r="F25" s="192"/>
      <c r="G25" s="192"/>
      <c r="H25" s="192"/>
      <c r="I25" s="192"/>
      <c r="J25" s="192"/>
      <c r="K25" s="193"/>
      <c r="L25" s="193"/>
    </row>
    <row r="27" spans="2:13" ht="15.75">
      <c r="B27" s="191" t="s">
        <v>166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3"/>
      <c r="M27" s="193"/>
    </row>
    <row r="28" spans="2:12" ht="1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7" ht="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Q29" s="20"/>
    </row>
    <row r="30" spans="2:12" ht="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ht="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2:12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2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2:12" ht="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ht="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ht="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2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2" ht="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2:12" ht="15">
      <c r="B46" s="30" t="s">
        <v>109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2:5" ht="15">
      <c r="B47" s="30" t="s">
        <v>110</v>
      </c>
      <c r="C47" s="30"/>
      <c r="D47" s="30"/>
      <c r="E47" s="30"/>
    </row>
    <row r="48" spans="2:5" ht="15">
      <c r="B48" s="30"/>
      <c r="C48" s="30"/>
      <c r="D48" s="30"/>
      <c r="E48" s="30"/>
    </row>
  </sheetData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="75" zoomScaleNormal="75" zoomScaleSheetLayoutView="75" workbookViewId="0" topLeftCell="A1">
      <selection activeCell="A2" sqref="A2:C84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8" t="s">
        <v>48</v>
      </c>
    </row>
    <row r="2" spans="1:5" ht="12.75" thickBot="1">
      <c r="A2" s="3" t="s">
        <v>2</v>
      </c>
      <c r="B2" s="81">
        <v>38898</v>
      </c>
      <c r="C2" s="81">
        <v>38929</v>
      </c>
      <c r="D2" s="4"/>
      <c r="E2" s="5"/>
    </row>
    <row r="3" spans="1:5" ht="12">
      <c r="A3" s="6"/>
      <c r="B3" s="42"/>
      <c r="C3" s="42"/>
      <c r="D3" s="7"/>
      <c r="E3" s="5"/>
    </row>
    <row r="4" spans="1:5" ht="12">
      <c r="A4" s="6" t="s">
        <v>3</v>
      </c>
      <c r="B4" s="43">
        <v>7.5</v>
      </c>
      <c r="C4" s="43">
        <v>7.5</v>
      </c>
      <c r="D4" s="33"/>
      <c r="E4" s="5"/>
    </row>
    <row r="5" spans="1:5" ht="12">
      <c r="A5" s="6"/>
      <c r="B5" s="43"/>
      <c r="C5" s="43"/>
      <c r="D5" s="8"/>
      <c r="E5" s="5"/>
    </row>
    <row r="6" spans="1:5" ht="12">
      <c r="A6" s="6" t="s">
        <v>42</v>
      </c>
      <c r="B6" s="43">
        <v>12.25</v>
      </c>
      <c r="C6" s="43">
        <v>12.25</v>
      </c>
      <c r="D6" s="33"/>
      <c r="E6" s="5"/>
    </row>
    <row r="7" spans="1:5" ht="12">
      <c r="A7" s="6"/>
      <c r="B7" s="43"/>
      <c r="C7" s="43"/>
      <c r="D7" s="8"/>
      <c r="E7" s="5"/>
    </row>
    <row r="8" spans="1:5" ht="12">
      <c r="A8" s="6" t="s">
        <v>4</v>
      </c>
      <c r="B8" s="43">
        <v>12.25</v>
      </c>
      <c r="C8" s="43">
        <v>12.25</v>
      </c>
      <c r="D8" s="8"/>
      <c r="E8" s="5"/>
    </row>
    <row r="9" spans="1:5" ht="12">
      <c r="A9" s="6"/>
      <c r="B9" s="43"/>
      <c r="C9" s="43"/>
      <c r="D9" s="8"/>
      <c r="E9" s="5"/>
    </row>
    <row r="10" spans="1:5" ht="12">
      <c r="A10" s="6" t="s">
        <v>152</v>
      </c>
      <c r="B10" s="43">
        <v>10.61</v>
      </c>
      <c r="C10" s="43">
        <v>10.93</v>
      </c>
      <c r="D10" s="8"/>
      <c r="E10" s="5"/>
    </row>
    <row r="11" spans="1:5" ht="12">
      <c r="A11" s="6"/>
      <c r="B11" s="43"/>
      <c r="C11" s="43"/>
      <c r="D11" s="8"/>
      <c r="E11" s="5"/>
    </row>
    <row r="12" spans="1:5" ht="12">
      <c r="A12" s="6" t="s">
        <v>5</v>
      </c>
      <c r="B12" s="43">
        <v>6.24</v>
      </c>
      <c r="C12" s="43">
        <v>6.18</v>
      </c>
      <c r="D12" s="8"/>
      <c r="E12" s="5"/>
    </row>
    <row r="13" spans="1:5" ht="12">
      <c r="A13" s="6"/>
      <c r="B13" s="43"/>
      <c r="C13" s="43"/>
      <c r="D13" s="8"/>
      <c r="E13" s="5"/>
    </row>
    <row r="14" spans="1:5" ht="12">
      <c r="A14" s="9" t="s">
        <v>6</v>
      </c>
      <c r="B14" s="43"/>
      <c r="C14" s="43"/>
      <c r="D14" s="5"/>
      <c r="E14" s="5"/>
    </row>
    <row r="15" spans="1:3" ht="12">
      <c r="A15" s="6"/>
      <c r="B15" s="43"/>
      <c r="C15" s="43"/>
    </row>
    <row r="16" spans="1:3" ht="12">
      <c r="A16" s="6" t="s">
        <v>7</v>
      </c>
      <c r="B16" s="43">
        <v>6.77</v>
      </c>
      <c r="C16" s="43">
        <v>7.23</v>
      </c>
    </row>
    <row r="17" spans="1:3" ht="12">
      <c r="A17" s="6" t="s">
        <v>41</v>
      </c>
      <c r="B17" s="43">
        <v>7.06</v>
      </c>
      <c r="C17" s="43">
        <v>7.56</v>
      </c>
    </row>
    <row r="18" spans="1:3" ht="12">
      <c r="A18" s="6" t="s">
        <v>8</v>
      </c>
      <c r="B18" s="87">
        <v>150</v>
      </c>
      <c r="C18" s="87">
        <v>50</v>
      </c>
    </row>
    <row r="19" spans="1:3" ht="12">
      <c r="A19" s="6" t="s">
        <v>9</v>
      </c>
      <c r="B19" s="87">
        <v>150</v>
      </c>
      <c r="C19" s="87">
        <v>30</v>
      </c>
    </row>
    <row r="20" spans="1:3" ht="12">
      <c r="A20" s="6"/>
      <c r="B20" s="43"/>
      <c r="C20" s="43"/>
    </row>
    <row r="21" spans="1:3" ht="12">
      <c r="A21" s="9" t="s">
        <v>10</v>
      </c>
      <c r="B21" s="43"/>
      <c r="C21" s="43"/>
    </row>
    <row r="22" spans="1:3" ht="12">
      <c r="A22" s="6"/>
      <c r="B22" s="43"/>
      <c r="C22" s="43"/>
    </row>
    <row r="23" spans="1:3" ht="12">
      <c r="A23" s="6" t="s">
        <v>7</v>
      </c>
      <c r="B23" s="87">
        <v>6.84</v>
      </c>
      <c r="C23" s="87">
        <v>7.48</v>
      </c>
    </row>
    <row r="24" spans="1:3" ht="12">
      <c r="A24" s="6" t="s">
        <v>40</v>
      </c>
      <c r="B24" s="43">
        <v>7.21</v>
      </c>
      <c r="C24" s="43">
        <v>7.92</v>
      </c>
    </row>
    <row r="25" spans="1:3" ht="12">
      <c r="A25" s="6" t="s">
        <v>8</v>
      </c>
      <c r="B25" s="87">
        <v>120</v>
      </c>
      <c r="C25" s="87">
        <v>50</v>
      </c>
    </row>
    <row r="26" spans="1:3" ht="12">
      <c r="A26" s="6" t="s">
        <v>9</v>
      </c>
      <c r="B26" s="87">
        <v>120</v>
      </c>
      <c r="C26" s="87">
        <v>50</v>
      </c>
    </row>
    <row r="27" spans="1:3" ht="12">
      <c r="A27" s="6"/>
      <c r="B27" s="43"/>
      <c r="C27" s="43"/>
    </row>
    <row r="28" spans="1:3" ht="12">
      <c r="A28" s="9" t="s">
        <v>43</v>
      </c>
      <c r="B28" s="43"/>
      <c r="C28" s="43"/>
    </row>
    <row r="29" spans="1:3" ht="12">
      <c r="A29" s="6"/>
      <c r="B29" s="83"/>
      <c r="C29" s="83"/>
    </row>
    <row r="30" spans="1:3" ht="12">
      <c r="A30" s="6" t="s">
        <v>7</v>
      </c>
      <c r="B30" s="87">
        <v>7.15</v>
      </c>
      <c r="C30" s="87">
        <v>8.17</v>
      </c>
    </row>
    <row r="31" spans="1:3" ht="12">
      <c r="A31" s="6" t="s">
        <v>40</v>
      </c>
      <c r="B31" s="87">
        <v>7.7</v>
      </c>
      <c r="C31" s="87">
        <v>8.89</v>
      </c>
    </row>
    <row r="32" spans="1:3" ht="12">
      <c r="A32" s="6" t="s">
        <v>8</v>
      </c>
      <c r="B32" s="87">
        <v>330</v>
      </c>
      <c r="C32" s="87">
        <v>200</v>
      </c>
    </row>
    <row r="33" spans="1:3" ht="12">
      <c r="A33" s="6" t="s">
        <v>9</v>
      </c>
      <c r="B33" s="43">
        <v>330</v>
      </c>
      <c r="C33" s="43">
        <v>250</v>
      </c>
    </row>
    <row r="34" spans="1:3" ht="12">
      <c r="A34" s="6"/>
      <c r="B34" s="43"/>
      <c r="C34" s="43"/>
    </row>
    <row r="35" spans="1:3" ht="12">
      <c r="A35" s="6"/>
      <c r="B35" s="43"/>
      <c r="C35" s="43"/>
    </row>
    <row r="36" spans="1:3" ht="12">
      <c r="A36" s="6"/>
      <c r="B36" s="43"/>
      <c r="C36" s="43"/>
    </row>
    <row r="37" spans="1:3" ht="12">
      <c r="A37" s="9" t="s">
        <v>44</v>
      </c>
      <c r="B37" s="43">
        <v>4655.01</v>
      </c>
      <c r="C37" s="43">
        <v>4625.01</v>
      </c>
    </row>
    <row r="38" spans="1:3" ht="12">
      <c r="A38" s="6"/>
      <c r="B38" s="43"/>
      <c r="C38" s="43"/>
    </row>
    <row r="39" spans="1:3" ht="12">
      <c r="A39" s="6"/>
      <c r="B39" s="40"/>
      <c r="C39" s="40"/>
    </row>
    <row r="40" spans="1:3" ht="12.75" thickBot="1">
      <c r="A40" s="6"/>
      <c r="B40" s="40"/>
      <c r="C40" s="40"/>
    </row>
    <row r="41" spans="1:3" ht="12.75" thickBot="1">
      <c r="A41" s="3" t="s">
        <v>11</v>
      </c>
      <c r="B41" s="81">
        <v>38898</v>
      </c>
      <c r="C41" s="81">
        <v>38929</v>
      </c>
    </row>
    <row r="42" spans="1:3" ht="12">
      <c r="A42" s="6"/>
      <c r="B42" s="40"/>
      <c r="C42" s="40"/>
    </row>
    <row r="43" spans="1:3" ht="12">
      <c r="A43" s="9" t="s">
        <v>12</v>
      </c>
      <c r="B43" s="40"/>
      <c r="C43" s="40"/>
    </row>
    <row r="44" spans="1:3" ht="12">
      <c r="A44" s="10" t="s">
        <v>114</v>
      </c>
      <c r="B44" s="40"/>
      <c r="C44" s="40"/>
    </row>
    <row r="45" spans="1:3" ht="12">
      <c r="A45" s="6" t="s">
        <v>13</v>
      </c>
      <c r="B45" s="82">
        <v>9.54</v>
      </c>
      <c r="C45" s="82">
        <v>9.98</v>
      </c>
    </row>
    <row r="46" spans="1:3" ht="12">
      <c r="A46" s="6" t="s">
        <v>8</v>
      </c>
      <c r="B46" s="82">
        <v>80</v>
      </c>
      <c r="C46" s="82">
        <v>120</v>
      </c>
    </row>
    <row r="47" spans="1:3" ht="12">
      <c r="A47" s="6" t="s">
        <v>9</v>
      </c>
      <c r="B47" s="82">
        <v>0</v>
      </c>
      <c r="C47" s="82">
        <v>0</v>
      </c>
    </row>
    <row r="48" spans="1:3" ht="12">
      <c r="A48" s="6"/>
      <c r="B48" s="43"/>
      <c r="C48" s="43"/>
    </row>
    <row r="49" spans="1:3" ht="12">
      <c r="A49" s="6" t="s">
        <v>14</v>
      </c>
      <c r="B49" s="87">
        <v>6207.05</v>
      </c>
      <c r="C49" s="87">
        <v>6327.05</v>
      </c>
    </row>
    <row r="50" spans="1:3" ht="12.75" thickBot="1">
      <c r="A50" s="6"/>
      <c r="B50" s="40"/>
      <c r="C50" s="40"/>
    </row>
    <row r="51" spans="1:3" ht="12.75" thickBot="1">
      <c r="A51" s="3" t="s">
        <v>15</v>
      </c>
      <c r="B51" s="81">
        <v>38898</v>
      </c>
      <c r="C51" s="81">
        <v>38929</v>
      </c>
    </row>
    <row r="52" spans="1:3" ht="12">
      <c r="A52" s="6"/>
      <c r="B52" s="40"/>
      <c r="C52" s="40"/>
    </row>
    <row r="53" spans="1:3" ht="12">
      <c r="A53" s="9" t="s">
        <v>16</v>
      </c>
      <c r="B53" s="40"/>
      <c r="C53" s="40"/>
    </row>
    <row r="54" spans="1:3" ht="12">
      <c r="A54" s="6"/>
      <c r="B54" s="40"/>
      <c r="C54" s="40"/>
    </row>
    <row r="55" spans="1:5" ht="12">
      <c r="A55" s="6" t="s">
        <v>17</v>
      </c>
      <c r="B55" s="86">
        <v>20.29</v>
      </c>
      <c r="C55" s="86">
        <v>13.67</v>
      </c>
      <c r="E55" s="11"/>
    </row>
    <row r="56" spans="1:10" ht="12">
      <c r="A56" s="6" t="s">
        <v>18</v>
      </c>
      <c r="B56" s="85">
        <v>578.68</v>
      </c>
      <c r="C56" s="85">
        <v>529.15</v>
      </c>
      <c r="E56" s="11"/>
      <c r="H56" s="12"/>
      <c r="J56" s="12"/>
    </row>
    <row r="57" spans="1:5" ht="12">
      <c r="A57" s="6" t="s">
        <v>19</v>
      </c>
      <c r="B57" s="85">
        <v>665.85</v>
      </c>
      <c r="C57" s="85">
        <v>688.72</v>
      </c>
      <c r="D57" s="14"/>
      <c r="E57" s="13"/>
    </row>
    <row r="58" spans="1:5" ht="12">
      <c r="A58" s="6" t="s">
        <v>20</v>
      </c>
      <c r="B58" s="85">
        <v>936.15</v>
      </c>
      <c r="C58" s="85">
        <v>923.44</v>
      </c>
      <c r="D58" s="14"/>
      <c r="E58" s="13"/>
    </row>
    <row r="59" spans="1:5" ht="12">
      <c r="A59" s="6" t="s">
        <v>21</v>
      </c>
      <c r="B59" s="85">
        <v>460.71</v>
      </c>
      <c r="C59" s="85">
        <v>447.51</v>
      </c>
      <c r="D59" s="13"/>
      <c r="E59" s="13"/>
    </row>
    <row r="60" spans="1:10" ht="12">
      <c r="A60" s="6" t="s">
        <v>22</v>
      </c>
      <c r="B60" s="85">
        <v>398.62</v>
      </c>
      <c r="C60" s="85">
        <v>402.03</v>
      </c>
      <c r="D60" s="14"/>
      <c r="E60" s="13"/>
      <c r="H60" s="12"/>
      <c r="J60" s="12"/>
    </row>
    <row r="61" spans="1:10" ht="12">
      <c r="A61" s="6" t="s">
        <v>23</v>
      </c>
      <c r="B61" s="85">
        <v>26.04</v>
      </c>
      <c r="C61" s="85">
        <v>24.23</v>
      </c>
      <c r="D61" s="14"/>
      <c r="E61" s="13"/>
      <c r="H61" s="12"/>
      <c r="J61" s="12"/>
    </row>
    <row r="62" spans="1:4" ht="12">
      <c r="A62" s="6" t="s">
        <v>24</v>
      </c>
      <c r="B62" s="85">
        <v>48.97</v>
      </c>
      <c r="C62" s="85">
        <v>47.72</v>
      </c>
      <c r="D62" s="14"/>
    </row>
    <row r="63" spans="1:4" ht="12">
      <c r="A63" s="6" t="s">
        <v>25</v>
      </c>
      <c r="B63" s="85">
        <v>1.81</v>
      </c>
      <c r="C63" s="85">
        <v>1.96</v>
      </c>
      <c r="D63" s="14"/>
    </row>
    <row r="64" spans="1:3" ht="12">
      <c r="A64" s="6"/>
      <c r="B64" s="40"/>
      <c r="C64" s="40"/>
    </row>
    <row r="65" spans="1:4" ht="12">
      <c r="A65" s="9" t="s">
        <v>26</v>
      </c>
      <c r="B65" s="40"/>
      <c r="C65" s="40"/>
      <c r="D65" s="14"/>
    </row>
    <row r="66" spans="1:5" ht="12">
      <c r="A66" s="6"/>
      <c r="B66" s="40"/>
      <c r="C66" s="40"/>
      <c r="E66" s="11"/>
    </row>
    <row r="67" spans="1:5" ht="12">
      <c r="A67" s="6" t="s">
        <v>17</v>
      </c>
      <c r="B67" s="43">
        <v>1.981</v>
      </c>
      <c r="C67" s="43">
        <v>0.123</v>
      </c>
      <c r="E67" s="11"/>
    </row>
    <row r="68" spans="1:5" ht="12">
      <c r="A68" s="6" t="s">
        <v>18</v>
      </c>
      <c r="B68" s="43">
        <v>11.235</v>
      </c>
      <c r="C68" s="43">
        <v>0.485</v>
      </c>
      <c r="E68" s="12"/>
    </row>
    <row r="69" spans="1:5" ht="12">
      <c r="A69" s="6" t="s">
        <v>19</v>
      </c>
      <c r="B69" s="43">
        <v>80.95</v>
      </c>
      <c r="C69" s="43">
        <v>83.73</v>
      </c>
      <c r="D69" s="14"/>
      <c r="E69" s="12"/>
    </row>
    <row r="70" spans="1:5" ht="12">
      <c r="A70" s="6" t="s">
        <v>20</v>
      </c>
      <c r="B70" s="87">
        <v>3.07</v>
      </c>
      <c r="C70" s="87">
        <v>3.069</v>
      </c>
      <c r="D70" s="88"/>
      <c r="E70" s="12"/>
    </row>
    <row r="71" spans="1:5" ht="12">
      <c r="A71" s="6" t="s">
        <v>21</v>
      </c>
      <c r="B71" s="43">
        <v>0</v>
      </c>
      <c r="C71" s="43">
        <v>0</v>
      </c>
      <c r="D71" s="14"/>
      <c r="E71" s="12"/>
    </row>
    <row r="72" spans="1:5" ht="12">
      <c r="A72" s="6" t="s">
        <v>22</v>
      </c>
      <c r="B72" s="43">
        <v>2.43</v>
      </c>
      <c r="C72" s="43">
        <v>2.424</v>
      </c>
      <c r="D72" s="88"/>
      <c r="E72" s="12"/>
    </row>
    <row r="73" spans="1:4" ht="12">
      <c r="A73" s="6" t="s">
        <v>23</v>
      </c>
      <c r="B73" s="43">
        <v>0.53</v>
      </c>
      <c r="C73" s="43">
        <v>0.527</v>
      </c>
      <c r="D73" s="14"/>
    </row>
    <row r="74" spans="1:4" ht="12">
      <c r="A74" s="6" t="s">
        <v>24</v>
      </c>
      <c r="B74" s="43">
        <v>0.9</v>
      </c>
      <c r="C74" s="43">
        <v>0.91</v>
      </c>
      <c r="D74" s="14"/>
    </row>
    <row r="75" spans="1:4" ht="12">
      <c r="A75" s="6" t="s">
        <v>25</v>
      </c>
      <c r="B75" s="43">
        <v>0.28</v>
      </c>
      <c r="C75" s="43">
        <v>0.27</v>
      </c>
      <c r="D75" s="89"/>
    </row>
    <row r="76" spans="1:3" ht="12.75" thickBot="1">
      <c r="A76" s="6"/>
      <c r="B76" s="43"/>
      <c r="C76" s="43"/>
    </row>
    <row r="77" spans="1:3" ht="12.75" thickBot="1">
      <c r="A77" s="3" t="s">
        <v>112</v>
      </c>
      <c r="B77" s="81">
        <v>38898</v>
      </c>
      <c r="C77" s="81">
        <v>38929</v>
      </c>
    </row>
    <row r="78" spans="1:3" ht="12">
      <c r="A78" s="6"/>
      <c r="B78" s="40"/>
      <c r="C78" s="40"/>
    </row>
    <row r="79" spans="1:3" ht="12">
      <c r="A79" s="6"/>
      <c r="B79" s="40"/>
      <c r="C79" s="40"/>
    </row>
    <row r="80" spans="1:3" ht="12">
      <c r="A80" s="6" t="s">
        <v>27</v>
      </c>
      <c r="B80" s="83">
        <v>5.3</v>
      </c>
      <c r="C80" s="83">
        <v>5.1</v>
      </c>
    </row>
    <row r="81" spans="1:3" ht="12">
      <c r="A81" s="6" t="s">
        <v>28</v>
      </c>
      <c r="B81" s="83">
        <v>2.5</v>
      </c>
      <c r="C81" s="83">
        <v>3.1</v>
      </c>
    </row>
    <row r="82" spans="1:3" ht="12.75" thickBot="1">
      <c r="A82" s="15" t="s">
        <v>29</v>
      </c>
      <c r="B82" s="91">
        <v>0.4</v>
      </c>
      <c r="C82" s="91">
        <v>0.7</v>
      </c>
    </row>
    <row r="83" ht="12">
      <c r="A83" s="2" t="s">
        <v>113</v>
      </c>
    </row>
    <row r="84" ht="12">
      <c r="A84" s="2" t="s">
        <v>153</v>
      </c>
    </row>
  </sheetData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showGridLines="0" zoomScale="75" zoomScaleNormal="75" zoomScaleSheetLayoutView="75" workbookViewId="0" topLeftCell="B1">
      <selection activeCell="C4" sqref="A4:P80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5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3" ht="15.75"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7" ht="15.75">
      <c r="A4" s="20"/>
      <c r="B4" s="20"/>
      <c r="C4" s="194" t="s">
        <v>158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20"/>
      <c r="O4" s="20"/>
      <c r="P4" s="20"/>
      <c r="Q4" s="20"/>
    </row>
    <row r="5" spans="1:17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.7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20"/>
      <c r="M6" s="20"/>
      <c r="N6" s="20"/>
      <c r="O6" s="20"/>
      <c r="P6" s="20"/>
      <c r="Q6" s="20"/>
    </row>
    <row r="7" spans="1:17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>
      <c r="A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5.75">
      <c r="A26" s="20"/>
      <c r="C26" s="167" t="s">
        <v>168</v>
      </c>
      <c r="D26" s="168"/>
      <c r="E26" s="16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5.75">
      <c r="A27" s="20"/>
      <c r="B27" s="21"/>
      <c r="C27" s="167"/>
      <c r="D27" s="168"/>
      <c r="E27" s="168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5">
      <c r="A29" s="20"/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5.75">
      <c r="A30" s="194" t="s">
        <v>169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20"/>
      <c r="M30" s="20"/>
      <c r="N30" s="20"/>
      <c r="O30" s="20"/>
      <c r="P30" s="20"/>
      <c r="Q30" s="20"/>
    </row>
    <row r="31" spans="1:17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5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5">
      <c r="A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.75">
      <c r="A52" s="20"/>
      <c r="B52" s="21"/>
      <c r="C52" s="167" t="s">
        <v>167</v>
      </c>
      <c r="D52" s="16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5">
      <c r="A54" s="20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5.75">
      <c r="A55" s="194" t="s">
        <v>159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20"/>
      <c r="M55" s="20"/>
      <c r="N55" s="20"/>
      <c r="O55" s="20"/>
      <c r="P55" s="20"/>
      <c r="Q55" s="20"/>
    </row>
    <row r="56" spans="1:17" ht="15">
      <c r="A56" s="20"/>
      <c r="B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5">
      <c r="A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ht="15">
      <c r="B75" s="21"/>
    </row>
    <row r="78" ht="15">
      <c r="B78" s="21"/>
    </row>
    <row r="79" spans="3:6" ht="15.75">
      <c r="C79" s="167" t="s">
        <v>170</v>
      </c>
      <c r="D79" s="169"/>
      <c r="E79" s="169"/>
      <c r="F79" s="169"/>
    </row>
    <row r="84" ht="15">
      <c r="C84" s="21"/>
    </row>
  </sheetData>
  <mergeCells count="6">
    <mergeCell ref="A6:K6"/>
    <mergeCell ref="A30:K30"/>
    <mergeCell ref="A55:K55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22"/>
  <sheetViews>
    <sheetView showGridLines="0" zoomScaleSheetLayoutView="75" workbookViewId="0" topLeftCell="A1">
      <selection activeCell="B2" sqref="B2:AR22"/>
    </sheetView>
  </sheetViews>
  <sheetFormatPr defaultColWidth="9.140625" defaultRowHeight="19.5" customHeight="1"/>
  <cols>
    <col min="1" max="1" width="4.7109375" style="41" customWidth="1"/>
    <col min="2" max="2" width="57.7109375" style="41" customWidth="1"/>
    <col min="3" max="7" width="9.8515625" style="41" hidden="1" customWidth="1"/>
    <col min="8" max="8" width="11.28125" style="41" hidden="1" customWidth="1"/>
    <col min="9" max="9" width="11.8515625" style="41" hidden="1" customWidth="1"/>
    <col min="10" max="11" width="9.8515625" style="41" hidden="1" customWidth="1"/>
    <col min="12" max="12" width="11.140625" style="41" hidden="1" customWidth="1"/>
    <col min="13" max="13" width="11.421875" style="41" hidden="1" customWidth="1"/>
    <col min="14" max="14" width="11.00390625" style="41" hidden="1" customWidth="1"/>
    <col min="15" max="15" width="10.140625" style="41" hidden="1" customWidth="1"/>
    <col min="16" max="16" width="9.8515625" style="41" hidden="1" customWidth="1"/>
    <col min="17" max="17" width="11.28125" style="41" hidden="1" customWidth="1"/>
    <col min="18" max="18" width="10.7109375" style="41" hidden="1" customWidth="1"/>
    <col min="19" max="19" width="11.00390625" style="41" hidden="1" customWidth="1"/>
    <col min="20" max="20" width="14.7109375" style="41" hidden="1" customWidth="1"/>
    <col min="21" max="21" width="2.00390625" style="41" hidden="1" customWidth="1"/>
    <col min="22" max="22" width="10.421875" style="41" hidden="1" customWidth="1"/>
    <col min="23" max="23" width="9.8515625" style="41" hidden="1" customWidth="1"/>
    <col min="24" max="24" width="9.421875" style="41" hidden="1" customWidth="1"/>
    <col min="25" max="25" width="11.28125" style="41" hidden="1" customWidth="1"/>
    <col min="26" max="26" width="10.421875" style="41" hidden="1" customWidth="1"/>
    <col min="27" max="27" width="10.8515625" style="41" hidden="1" customWidth="1"/>
    <col min="28" max="28" width="11.00390625" style="41" hidden="1" customWidth="1"/>
    <col min="29" max="29" width="11.7109375" style="41" hidden="1" customWidth="1"/>
    <col min="30" max="30" width="9.8515625" style="41" hidden="1" customWidth="1"/>
    <col min="31" max="31" width="10.8515625" style="41" customWidth="1"/>
    <col min="32" max="32" width="11.8515625" style="41" customWidth="1"/>
    <col min="33" max="33" width="12.140625" style="41" customWidth="1"/>
    <col min="34" max="34" width="11.421875" style="41" customWidth="1"/>
    <col min="35" max="35" width="11.140625" style="41" customWidth="1"/>
    <col min="36" max="36" width="10.8515625" style="41" customWidth="1"/>
    <col min="37" max="40" width="10.421875" style="41" customWidth="1"/>
    <col min="41" max="41" width="11.421875" style="41" customWidth="1"/>
    <col min="42" max="44" width="11.00390625" style="41" customWidth="1"/>
    <col min="45" max="16384" width="9.140625" style="41" customWidth="1"/>
  </cols>
  <sheetData>
    <row r="1" ht="19.5" customHeight="1" thickBot="1"/>
    <row r="2" spans="2:44" ht="19.5" customHeight="1">
      <c r="B2" s="115" t="s">
        <v>155</v>
      </c>
      <c r="C2" s="116"/>
      <c r="D2" s="116"/>
      <c r="E2" s="116"/>
      <c r="F2" s="117"/>
      <c r="G2" s="118"/>
      <c r="H2" s="117"/>
      <c r="I2" s="118"/>
      <c r="J2" s="118"/>
      <c r="K2" s="117"/>
      <c r="L2" s="117"/>
      <c r="M2" s="119"/>
      <c r="N2" s="118"/>
      <c r="O2" s="120"/>
      <c r="P2" s="118"/>
      <c r="Q2" s="117"/>
      <c r="R2" s="118"/>
      <c r="S2" s="118"/>
      <c r="T2" s="121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</row>
    <row r="3" spans="2:44" ht="19.5" customHeight="1">
      <c r="B3" s="122"/>
      <c r="C3" s="122"/>
      <c r="D3" s="122"/>
      <c r="E3" s="122"/>
      <c r="F3" s="123"/>
      <c r="G3" s="123"/>
      <c r="H3" s="123"/>
      <c r="I3" s="124"/>
      <c r="J3" s="124"/>
      <c r="K3" s="123"/>
      <c r="L3" s="123"/>
      <c r="M3" s="125"/>
      <c r="N3" s="124"/>
      <c r="O3" s="126"/>
      <c r="P3" s="124"/>
      <c r="Q3" s="123"/>
      <c r="R3" s="124"/>
      <c r="S3" s="124"/>
      <c r="T3" s="127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</row>
    <row r="4" spans="2:44" ht="19.5" customHeight="1">
      <c r="B4" s="128"/>
      <c r="C4" s="129">
        <v>37655</v>
      </c>
      <c r="D4" s="129">
        <v>37681</v>
      </c>
      <c r="E4" s="129">
        <v>37712</v>
      </c>
      <c r="F4" s="129">
        <v>37742</v>
      </c>
      <c r="G4" s="129">
        <v>37773</v>
      </c>
      <c r="H4" s="129">
        <v>37803</v>
      </c>
      <c r="I4" s="129">
        <v>37834</v>
      </c>
      <c r="J4" s="129">
        <v>37865</v>
      </c>
      <c r="K4" s="129">
        <v>37895</v>
      </c>
      <c r="L4" s="129">
        <v>37926</v>
      </c>
      <c r="M4" s="129">
        <v>37956</v>
      </c>
      <c r="N4" s="129">
        <v>37987</v>
      </c>
      <c r="O4" s="130">
        <v>38018</v>
      </c>
      <c r="P4" s="129">
        <v>38047</v>
      </c>
      <c r="Q4" s="129">
        <v>38078</v>
      </c>
      <c r="R4" s="129">
        <v>38108</v>
      </c>
      <c r="S4" s="129">
        <v>38139</v>
      </c>
      <c r="T4" s="129">
        <v>38169</v>
      </c>
      <c r="U4" s="129">
        <v>38200</v>
      </c>
      <c r="V4" s="129">
        <v>38231</v>
      </c>
      <c r="W4" s="129">
        <v>38261</v>
      </c>
      <c r="X4" s="129">
        <v>38292</v>
      </c>
      <c r="Y4" s="129">
        <v>38322</v>
      </c>
      <c r="Z4" s="129">
        <v>38353</v>
      </c>
      <c r="AA4" s="129">
        <v>38384</v>
      </c>
      <c r="AB4" s="129">
        <v>38412</v>
      </c>
      <c r="AC4" s="129">
        <v>38443</v>
      </c>
      <c r="AD4" s="129">
        <v>38473</v>
      </c>
      <c r="AE4" s="129">
        <v>38504</v>
      </c>
      <c r="AF4" s="129">
        <v>38534</v>
      </c>
      <c r="AG4" s="129">
        <v>38565</v>
      </c>
      <c r="AH4" s="129">
        <v>38596</v>
      </c>
      <c r="AI4" s="129">
        <v>38626</v>
      </c>
      <c r="AJ4" s="129">
        <v>38657</v>
      </c>
      <c r="AK4" s="129">
        <v>38687</v>
      </c>
      <c r="AL4" s="129">
        <v>38718</v>
      </c>
      <c r="AM4" s="129">
        <v>38749</v>
      </c>
      <c r="AN4" s="129">
        <v>38777</v>
      </c>
      <c r="AO4" s="129">
        <v>38808</v>
      </c>
      <c r="AP4" s="129">
        <v>38838</v>
      </c>
      <c r="AQ4" s="129">
        <v>38869</v>
      </c>
      <c r="AR4" s="129">
        <v>38899</v>
      </c>
    </row>
    <row r="5" spans="1:44" ht="19.5" customHeight="1">
      <c r="A5" s="165"/>
      <c r="B5" s="131" t="s">
        <v>118</v>
      </c>
      <c r="C5" s="132"/>
      <c r="D5" s="132"/>
      <c r="E5" s="133"/>
      <c r="F5" s="134"/>
      <c r="G5" s="134"/>
      <c r="H5" s="134"/>
      <c r="I5" s="134"/>
      <c r="J5" s="134"/>
      <c r="K5" s="134"/>
      <c r="L5" s="134"/>
      <c r="M5" s="135"/>
      <c r="N5" s="134"/>
      <c r="O5" s="136"/>
      <c r="P5" s="137"/>
      <c r="Q5" s="134"/>
      <c r="R5" s="137"/>
      <c r="S5" s="137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</row>
    <row r="6" spans="1:44" ht="19.5" customHeight="1">
      <c r="A6" s="166"/>
      <c r="B6" s="131"/>
      <c r="C6" s="132"/>
      <c r="D6" s="132"/>
      <c r="E6" s="133"/>
      <c r="F6" s="134"/>
      <c r="G6" s="134"/>
      <c r="H6" s="134"/>
      <c r="I6" s="134"/>
      <c r="J6" s="134"/>
      <c r="K6" s="134"/>
      <c r="L6" s="134"/>
      <c r="M6" s="135"/>
      <c r="N6" s="134"/>
      <c r="O6" s="136"/>
      <c r="P6" s="137"/>
      <c r="Q6" s="134"/>
      <c r="R6" s="137"/>
      <c r="S6" s="137"/>
      <c r="T6" s="138"/>
      <c r="U6" s="137"/>
      <c r="V6" s="137"/>
      <c r="W6" s="137"/>
      <c r="X6" s="137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2:44" ht="19.5" customHeight="1">
      <c r="B7" s="131" t="s">
        <v>30</v>
      </c>
      <c r="C7" s="139">
        <v>2595.44027685</v>
      </c>
      <c r="D7" s="139">
        <v>2187.8368766900003</v>
      </c>
      <c r="E7" s="139">
        <v>2272.4872471500003</v>
      </c>
      <c r="F7" s="140">
        <v>2113.36340838</v>
      </c>
      <c r="G7" s="140">
        <v>2165.8</v>
      </c>
      <c r="H7" s="141">
        <v>2129.6</v>
      </c>
      <c r="I7" s="134">
        <v>1891</v>
      </c>
      <c r="J7" s="140">
        <v>2181.2</v>
      </c>
      <c r="K7" s="140">
        <v>2467.9</v>
      </c>
      <c r="L7" s="140">
        <v>2091</v>
      </c>
      <c r="M7" s="142">
        <v>2110.3</v>
      </c>
      <c r="N7" s="140">
        <v>2710.8702829799995</v>
      </c>
      <c r="O7" s="143">
        <v>1935.4129830699999</v>
      </c>
      <c r="P7" s="144">
        <v>1824.1042653499997</v>
      </c>
      <c r="Q7" s="134">
        <v>2395.6</v>
      </c>
      <c r="R7" s="134">
        <v>1860.4</v>
      </c>
      <c r="S7" s="134">
        <v>1783.2</v>
      </c>
      <c r="T7" s="134">
        <v>1984.6</v>
      </c>
      <c r="U7" s="134">
        <v>1989.9</v>
      </c>
      <c r="V7" s="134">
        <v>1808.2</v>
      </c>
      <c r="W7" s="134">
        <v>2207.6</v>
      </c>
      <c r="X7" s="134">
        <v>1987.9</v>
      </c>
      <c r="Y7" s="134">
        <v>1977.3</v>
      </c>
      <c r="Z7" s="134">
        <v>2327.5</v>
      </c>
      <c r="AA7" s="134">
        <v>2029.5</v>
      </c>
      <c r="AB7" s="134">
        <v>1912.6</v>
      </c>
      <c r="AC7" s="134">
        <v>2303.8</v>
      </c>
      <c r="AD7" s="134">
        <v>2107.1</v>
      </c>
      <c r="AE7" s="134">
        <v>1874.1</v>
      </c>
      <c r="AF7" s="134">
        <v>2354.7</v>
      </c>
      <c r="AG7" s="134">
        <v>2159.1</v>
      </c>
      <c r="AH7" s="134">
        <v>1818.2</v>
      </c>
      <c r="AI7" s="140">
        <v>2245</v>
      </c>
      <c r="AJ7" s="140">
        <v>1902.22246</v>
      </c>
      <c r="AK7" s="140">
        <v>1983.9</v>
      </c>
      <c r="AL7" s="140">
        <v>2705.5</v>
      </c>
      <c r="AM7" s="140">
        <v>2696</v>
      </c>
      <c r="AN7" s="140">
        <v>2458.1</v>
      </c>
      <c r="AO7" s="140">
        <v>3129.7</v>
      </c>
      <c r="AP7" s="140">
        <v>2973</v>
      </c>
      <c r="AQ7" s="140">
        <v>2677.9</v>
      </c>
      <c r="AR7" s="140">
        <v>3313.1</v>
      </c>
    </row>
    <row r="8" spans="2:44" ht="19.5" customHeight="1">
      <c r="B8" s="131" t="s">
        <v>31</v>
      </c>
      <c r="C8" s="145"/>
      <c r="D8" s="145">
        <f>D7-C7</f>
        <v>-407.60340015999964</v>
      </c>
      <c r="E8" s="145">
        <f>E7-D7</f>
        <v>84.65037045999998</v>
      </c>
      <c r="F8" s="145">
        <f>F7-E7</f>
        <v>-159.12383877000048</v>
      </c>
      <c r="G8" s="145">
        <f aca="true" t="shared" si="0" ref="G8:AG8">G7-F7</f>
        <v>52.4365916200004</v>
      </c>
      <c r="H8" s="145">
        <f t="shared" si="0"/>
        <v>-36.20000000000027</v>
      </c>
      <c r="I8" s="145">
        <f t="shared" si="0"/>
        <v>-238.5999999999999</v>
      </c>
      <c r="J8" s="145">
        <f t="shared" si="0"/>
        <v>290.1999999999998</v>
      </c>
      <c r="K8" s="145">
        <f t="shared" si="0"/>
        <v>286.7000000000003</v>
      </c>
      <c r="L8" s="145">
        <f t="shared" si="0"/>
        <v>-376.9000000000001</v>
      </c>
      <c r="M8" s="145">
        <f t="shared" si="0"/>
        <v>19.300000000000182</v>
      </c>
      <c r="N8" s="145">
        <f t="shared" si="0"/>
        <v>600.5702829799993</v>
      </c>
      <c r="O8" s="146">
        <f t="shared" si="0"/>
        <v>-775.4572999099996</v>
      </c>
      <c r="P8" s="141">
        <f t="shared" si="0"/>
        <v>-111.30871772000023</v>
      </c>
      <c r="Q8" s="141">
        <f t="shared" si="0"/>
        <v>571.4957346500003</v>
      </c>
      <c r="R8" s="141">
        <f t="shared" si="0"/>
        <v>-535.1999999999998</v>
      </c>
      <c r="S8" s="141">
        <f t="shared" si="0"/>
        <v>-77.20000000000005</v>
      </c>
      <c r="T8" s="141">
        <f t="shared" si="0"/>
        <v>201.39999999999986</v>
      </c>
      <c r="U8" s="141">
        <f t="shared" si="0"/>
        <v>5.300000000000182</v>
      </c>
      <c r="V8" s="141">
        <f t="shared" si="0"/>
        <v>-181.70000000000005</v>
      </c>
      <c r="W8" s="141">
        <f t="shared" si="0"/>
        <v>399.39999999999986</v>
      </c>
      <c r="X8" s="141">
        <f t="shared" si="0"/>
        <v>-219.69999999999982</v>
      </c>
      <c r="Y8" s="141">
        <f t="shared" si="0"/>
        <v>-10.600000000000136</v>
      </c>
      <c r="Z8" s="141">
        <f t="shared" si="0"/>
        <v>350.20000000000005</v>
      </c>
      <c r="AA8" s="141">
        <f t="shared" si="0"/>
        <v>-298</v>
      </c>
      <c r="AB8" s="141">
        <f t="shared" si="0"/>
        <v>-116.90000000000009</v>
      </c>
      <c r="AC8" s="141">
        <f t="shared" si="0"/>
        <v>391.2000000000003</v>
      </c>
      <c r="AD8" s="141">
        <f t="shared" si="0"/>
        <v>-196.70000000000027</v>
      </c>
      <c r="AE8" s="141">
        <f t="shared" si="0"/>
        <v>-233</v>
      </c>
      <c r="AF8" s="141">
        <f t="shared" si="0"/>
        <v>480.5999999999999</v>
      </c>
      <c r="AG8" s="141">
        <f t="shared" si="0"/>
        <v>-195.5999999999999</v>
      </c>
      <c r="AH8" s="141">
        <f aca="true" t="shared" si="1" ref="AH8:AR8">AH7-AG7</f>
        <v>-340.89999999999986</v>
      </c>
      <c r="AI8" s="141">
        <f t="shared" si="1"/>
        <v>426.79999999999995</v>
      </c>
      <c r="AJ8" s="141">
        <f t="shared" si="1"/>
        <v>-342.77754000000004</v>
      </c>
      <c r="AK8" s="141">
        <f t="shared" si="1"/>
        <v>81.67754000000014</v>
      </c>
      <c r="AL8" s="141">
        <f t="shared" si="1"/>
        <v>721.5999999999999</v>
      </c>
      <c r="AM8" s="141">
        <f t="shared" si="1"/>
        <v>-9.5</v>
      </c>
      <c r="AN8" s="141">
        <f t="shared" si="1"/>
        <v>-237.9000000000001</v>
      </c>
      <c r="AO8" s="141">
        <f t="shared" si="1"/>
        <v>671.5999999999999</v>
      </c>
      <c r="AP8" s="141">
        <f t="shared" si="1"/>
        <v>-156.69999999999982</v>
      </c>
      <c r="AQ8" s="141">
        <f t="shared" si="1"/>
        <v>-295.0999999999999</v>
      </c>
      <c r="AR8" s="141">
        <f t="shared" si="1"/>
        <v>635.1999999999998</v>
      </c>
    </row>
    <row r="9" spans="2:44" ht="19.5" customHeight="1">
      <c r="B9" s="131"/>
      <c r="C9" s="132"/>
      <c r="D9" s="132"/>
      <c r="E9" s="132"/>
      <c r="F9" s="134"/>
      <c r="G9" s="134"/>
      <c r="H9" s="134"/>
      <c r="I9" s="134"/>
      <c r="J9" s="134"/>
      <c r="K9" s="134"/>
      <c r="L9" s="134"/>
      <c r="M9" s="135"/>
      <c r="N9" s="134"/>
      <c r="O9" s="136"/>
      <c r="P9" s="137"/>
      <c r="Q9" s="134"/>
      <c r="R9" s="137"/>
      <c r="S9" s="137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</row>
    <row r="10" spans="2:44" ht="19.5" customHeight="1">
      <c r="B10" s="131" t="s">
        <v>45</v>
      </c>
      <c r="C10" s="132"/>
      <c r="D10" s="132"/>
      <c r="E10" s="132"/>
      <c r="F10" s="134"/>
      <c r="G10" s="134"/>
      <c r="H10" s="134"/>
      <c r="I10" s="134"/>
      <c r="J10" s="134"/>
      <c r="K10" s="134"/>
      <c r="L10" s="134"/>
      <c r="M10" s="135"/>
      <c r="N10" s="134"/>
      <c r="O10" s="136"/>
      <c r="P10" s="137"/>
      <c r="Q10" s="134"/>
      <c r="R10" s="137"/>
      <c r="S10" s="137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</row>
    <row r="11" spans="2:44" ht="19.5" customHeight="1">
      <c r="B11" s="131"/>
      <c r="C11" s="132"/>
      <c r="D11" s="132"/>
      <c r="E11" s="132"/>
      <c r="F11" s="134"/>
      <c r="G11" s="134"/>
      <c r="H11" s="134"/>
      <c r="I11" s="134"/>
      <c r="J11" s="134"/>
      <c r="K11" s="134"/>
      <c r="L11" s="134"/>
      <c r="M11" s="135"/>
      <c r="N11" s="134"/>
      <c r="O11" s="136"/>
      <c r="P11" s="137"/>
      <c r="Q11" s="134"/>
      <c r="R11" s="137"/>
      <c r="S11" s="137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</row>
    <row r="12" spans="2:44" ht="19.5" customHeight="1">
      <c r="B12" s="131" t="s">
        <v>32</v>
      </c>
      <c r="C12" s="132"/>
      <c r="D12" s="132">
        <v>8.0439</v>
      </c>
      <c r="E12" s="132">
        <v>7.7068</v>
      </c>
      <c r="F12" s="147">
        <v>7.6652</v>
      </c>
      <c r="G12" s="147">
        <v>7.9027</v>
      </c>
      <c r="H12" s="147">
        <v>7.5401</v>
      </c>
      <c r="I12" s="134">
        <v>7.3922</v>
      </c>
      <c r="J12" s="134">
        <v>7.3246</v>
      </c>
      <c r="K12" s="134">
        <v>6.9637</v>
      </c>
      <c r="L12" s="134">
        <v>6.7287</v>
      </c>
      <c r="M12" s="135">
        <v>6.5159</v>
      </c>
      <c r="N12" s="134">
        <v>6.9179</v>
      </c>
      <c r="O12" s="135">
        <v>6.7686</v>
      </c>
      <c r="P12" s="134">
        <v>6.6633</v>
      </c>
      <c r="Q12" s="134">
        <v>6.5537</v>
      </c>
      <c r="R12" s="134">
        <v>6.7821</v>
      </c>
      <c r="S12" s="134">
        <v>6.4381</v>
      </c>
      <c r="T12" s="148">
        <v>6.1287</v>
      </c>
      <c r="U12" s="134">
        <v>6.4575</v>
      </c>
      <c r="V12" s="134">
        <v>6.5469</v>
      </c>
      <c r="W12" s="134">
        <v>6.3876</v>
      </c>
      <c r="X12" s="134">
        <v>6.0558</v>
      </c>
      <c r="Y12" s="134">
        <v>5.7323</v>
      </c>
      <c r="Z12" s="134">
        <v>5.9698</v>
      </c>
      <c r="AA12" s="134">
        <v>6.0161</v>
      </c>
      <c r="AB12" s="134">
        <v>6.323</v>
      </c>
      <c r="AC12" s="134">
        <v>6.1521</v>
      </c>
      <c r="AD12" s="134">
        <v>6.3314</v>
      </c>
      <c r="AE12" s="148">
        <v>6.75</v>
      </c>
      <c r="AF12" s="148">
        <v>6.7035</v>
      </c>
      <c r="AG12" s="148">
        <v>6.465</v>
      </c>
      <c r="AH12" s="148">
        <v>6.3578</v>
      </c>
      <c r="AI12" s="148">
        <v>6.5766</v>
      </c>
      <c r="AJ12" s="148">
        <v>6.521</v>
      </c>
      <c r="AK12" s="148">
        <v>6.3591</v>
      </c>
      <c r="AL12" s="148">
        <v>6.0891</v>
      </c>
      <c r="AM12" s="148">
        <v>6.1177</v>
      </c>
      <c r="AN12" s="148">
        <v>6.2544</v>
      </c>
      <c r="AO12" s="148">
        <v>6.072</v>
      </c>
      <c r="AP12" s="148">
        <v>6.3199</v>
      </c>
      <c r="AQ12" s="148">
        <v>6.9549</v>
      </c>
      <c r="AR12" s="148">
        <v>7.0843</v>
      </c>
    </row>
    <row r="13" spans="2:44" ht="19.5" customHeight="1">
      <c r="B13" s="131" t="s">
        <v>33</v>
      </c>
      <c r="C13" s="149"/>
      <c r="D13" s="149">
        <f>1/8.0439</f>
        <v>0.124317806039359</v>
      </c>
      <c r="E13" s="149">
        <f>1/7.7068</f>
        <v>0.12975554056158198</v>
      </c>
      <c r="F13" s="150">
        <f>1/7.6652</f>
        <v>0.13045974012419767</v>
      </c>
      <c r="G13" s="150">
        <f>1/7.9027</f>
        <v>0.12653903096410088</v>
      </c>
      <c r="H13" s="150">
        <f>1/7.5401</f>
        <v>0.1326242357528415</v>
      </c>
      <c r="I13" s="150">
        <f>1/7.3922</f>
        <v>0.13527772516977354</v>
      </c>
      <c r="J13" s="150">
        <f>1/7.3246</f>
        <v>0.1365262266881468</v>
      </c>
      <c r="K13" s="150">
        <f>1/6.9637</f>
        <v>0.14360182087108864</v>
      </c>
      <c r="L13" s="150">
        <f>1/6.7287</f>
        <v>0.14861711771961894</v>
      </c>
      <c r="M13" s="150">
        <f>1/6.5159</f>
        <v>0.15347074080326586</v>
      </c>
      <c r="N13" s="150">
        <f>1/6.9179</f>
        <v>0.14455253761979792</v>
      </c>
      <c r="O13" s="151">
        <f>1/6.7686</f>
        <v>0.14774103950595396</v>
      </c>
      <c r="P13" s="150">
        <f>1/6.6633</f>
        <v>0.1500757882730779</v>
      </c>
      <c r="Q13" s="150">
        <f>1/6.5537</f>
        <v>0.15258556235409004</v>
      </c>
      <c r="R13" s="150">
        <f>1/6.7821</f>
        <v>0.14744695595759427</v>
      </c>
      <c r="S13" s="150">
        <f>1/6.4381</f>
        <v>0.15532532890138395</v>
      </c>
      <c r="T13" s="150">
        <f>1/6.1287</f>
        <v>0.1631667400916997</v>
      </c>
      <c r="U13" s="150">
        <f>1/6.4575</f>
        <v>0.1548586914440573</v>
      </c>
      <c r="V13" s="150">
        <f>1/6.5469</f>
        <v>0.15274404680077594</v>
      </c>
      <c r="W13" s="150">
        <f>1/6.3876</f>
        <v>0.15655332206149414</v>
      </c>
      <c r="X13" s="150">
        <f>1/6.0558</f>
        <v>0.16513094884243207</v>
      </c>
      <c r="Y13" s="150">
        <f>1/5.7323</f>
        <v>0.17445004622926225</v>
      </c>
      <c r="Z13" s="150">
        <f>1/5.9698</f>
        <v>0.1675097993232604</v>
      </c>
      <c r="AA13" s="150">
        <f>1/6.0161</f>
        <v>0.16622064127923405</v>
      </c>
      <c r="AB13" s="150">
        <f>1/6.0101</f>
        <v>0.16638658258598024</v>
      </c>
      <c r="AC13" s="150">
        <f>1/6.1521</f>
        <v>0.16254612246224867</v>
      </c>
      <c r="AD13" s="150">
        <f>1/6.3314</f>
        <v>0.1579429510060966</v>
      </c>
      <c r="AE13" s="150">
        <f>1/6.75</f>
        <v>0.14814814814814814</v>
      </c>
      <c r="AF13" s="150">
        <f>1/6.7035</f>
        <v>0.14917580368464234</v>
      </c>
      <c r="AG13" s="150">
        <f>1/6.465</f>
        <v>0.15467904098994587</v>
      </c>
      <c r="AH13" s="150">
        <f>1/6.3578</f>
        <v>0.1572871118940514</v>
      </c>
      <c r="AI13" s="150">
        <f>1/6.5766</f>
        <v>0.15205425295745523</v>
      </c>
      <c r="AJ13" s="150">
        <f>1/6.521</f>
        <v>0.15335071308081583</v>
      </c>
      <c r="AK13" s="150">
        <f>1/6.3591</f>
        <v>0.157254957462534</v>
      </c>
      <c r="AL13" s="150">
        <f>1/6.0891</f>
        <v>0.1642278826099095</v>
      </c>
      <c r="AM13" s="150">
        <f>1/6.1177</f>
        <v>0.16346012390277392</v>
      </c>
      <c r="AN13" s="150">
        <f>1/6.2544</f>
        <v>0.15988743924277307</v>
      </c>
      <c r="AO13" s="150">
        <f>1/6.072</f>
        <v>0.16469038208168643</v>
      </c>
      <c r="AP13" s="150">
        <f>1/6.3199</f>
        <v>0.15823035174607195</v>
      </c>
      <c r="AQ13" s="150">
        <f>1/6.9549</f>
        <v>0.14378351953299112</v>
      </c>
      <c r="AR13" s="150">
        <f>1/7.0843</f>
        <v>0.14115720678119223</v>
      </c>
    </row>
    <row r="14" spans="2:44" ht="19.5" customHeight="1">
      <c r="B14" s="131" t="s">
        <v>34</v>
      </c>
      <c r="C14" s="132"/>
      <c r="D14" s="132"/>
      <c r="E14" s="132"/>
      <c r="F14" s="147"/>
      <c r="G14" s="147"/>
      <c r="H14" s="147"/>
      <c r="I14" s="134"/>
      <c r="J14" s="134"/>
      <c r="K14" s="134"/>
      <c r="L14" s="134"/>
      <c r="M14" s="135"/>
      <c r="N14" s="134"/>
      <c r="O14" s="136"/>
      <c r="P14" s="137"/>
      <c r="Q14" s="134"/>
      <c r="R14" s="137"/>
      <c r="S14" s="137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</row>
    <row r="15" spans="2:44" ht="19.5" customHeight="1">
      <c r="B15" s="131" t="s">
        <v>35</v>
      </c>
      <c r="C15" s="149"/>
      <c r="D15" s="149">
        <f>1/12.7437</f>
        <v>0.07847014603294176</v>
      </c>
      <c r="E15" s="149">
        <f>1/12.124</f>
        <v>0.08248102936324644</v>
      </c>
      <c r="F15" s="150">
        <f>1/12.4393</f>
        <v>0.08039037566422548</v>
      </c>
      <c r="G15" s="150">
        <f>1/13.1219</f>
        <v>0.07620847590669035</v>
      </c>
      <c r="H15" s="150">
        <f>1/12.26</f>
        <v>0.08156606851549755</v>
      </c>
      <c r="I15" s="150">
        <f>1/11.7868</f>
        <v>0.08484066922319884</v>
      </c>
      <c r="J15" s="150">
        <f>1/11.702</f>
        <v>0.08545547769612032</v>
      </c>
      <c r="K15" s="150">
        <f>1/11.6744</f>
        <v>0.08565750702391557</v>
      </c>
      <c r="L15" s="150">
        <f>1/11.3692</f>
        <v>0.08795693628399535</v>
      </c>
      <c r="M15" s="150">
        <f>1/11.3073</f>
        <v>0.08843844242215207</v>
      </c>
      <c r="N15" s="150">
        <f>1/12.5935</f>
        <v>0.07940604279985707</v>
      </c>
      <c r="O15" s="151">
        <f>1/12.6411</f>
        <v>0.07910703973546607</v>
      </c>
      <c r="P15" s="150">
        <f>1/12.1204</f>
        <v>0.08250552787036732</v>
      </c>
      <c r="Q15" s="150">
        <f>1/11.8224</f>
        <v>0.08458519420760591</v>
      </c>
      <c r="R15" s="150">
        <f>1/12.1262</f>
        <v>0.08246606521416437</v>
      </c>
      <c r="S15" s="150">
        <f>1/11.7619</f>
        <v>0.08502027733614466</v>
      </c>
      <c r="T15" s="150">
        <f>1/11.2923</f>
        <v>0.08855591863482197</v>
      </c>
      <c r="U15" s="150">
        <f>1/11.7446</f>
        <v>0.08514551368288405</v>
      </c>
      <c r="V15" s="150">
        <f>1/11.736</f>
        <v>0.08520790729379686</v>
      </c>
      <c r="W15" s="150">
        <f>1/11.5461</f>
        <v>0.08660933128935312</v>
      </c>
      <c r="X15" s="150">
        <f>1/11.2483</f>
        <v>0.08890232301770044</v>
      </c>
      <c r="Y15" s="150">
        <f>1/11.601</f>
        <v>0.0861994655633135</v>
      </c>
      <c r="Z15" s="150">
        <f>1/11.2168</f>
        <v>0.08915198630625491</v>
      </c>
      <c r="AA15" s="150">
        <f>1/11.3535</f>
        <v>0.08807856608094419</v>
      </c>
      <c r="AB15" s="150">
        <f>1/11.8847</f>
        <v>0.08414179575420498</v>
      </c>
      <c r="AC15" s="150">
        <f>1/11.6567</f>
        <v>0.08578757281220242</v>
      </c>
      <c r="AD15" s="150">
        <f>1/11.7446</f>
        <v>0.08514551368288405</v>
      </c>
      <c r="AE15" s="150">
        <f>1/12.282</f>
        <v>0.08141996417521576</v>
      </c>
      <c r="AF15" s="150">
        <f>1/11.7407</f>
        <v>0.08517379713304998</v>
      </c>
      <c r="AG15" s="150">
        <f>1/11.5992</f>
        <v>0.0862128422649838</v>
      </c>
      <c r="AH15" s="150">
        <f>1/11.4978</f>
        <v>0.08697316008279846</v>
      </c>
      <c r="AI15" s="150">
        <f>1/11.5989</f>
        <v>0.08621507211890782</v>
      </c>
      <c r="AJ15" s="150">
        <f>1/11.2213</f>
        <v>0.08911623430440324</v>
      </c>
      <c r="AK15" s="150">
        <f>1/11.1059</f>
        <v>0.0900422298057789</v>
      </c>
      <c r="AL15" s="150">
        <f>1/10.7529</f>
        <v>0.09299816793609166</v>
      </c>
      <c r="AM15" s="150">
        <f>1/10.6948</f>
        <v>0.09350338482253057</v>
      </c>
      <c r="AN15" s="150">
        <f>1/10.907</f>
        <v>0.09168423947923351</v>
      </c>
      <c r="AO15" s="150">
        <f>1/10.7206</f>
        <v>0.09327836128574894</v>
      </c>
      <c r="AP15" s="150">
        <f>1/11.806</f>
        <v>0.08470269354565475</v>
      </c>
      <c r="AQ15" s="150">
        <f>1/12.8291</f>
        <v>0.07794779056987629</v>
      </c>
      <c r="AR15" s="150">
        <f>1/13.0643</f>
        <v>0.07654447616787735</v>
      </c>
    </row>
    <row r="16" spans="2:44" ht="19.5" customHeight="1">
      <c r="B16" s="131" t="s">
        <v>36</v>
      </c>
      <c r="C16" s="149"/>
      <c r="D16" s="149">
        <f>1/0.0679</f>
        <v>14.727540500736376</v>
      </c>
      <c r="E16" s="149">
        <f>1/0.0642</f>
        <v>15.576323987538942</v>
      </c>
      <c r="F16" s="150">
        <f>1/0.0654</f>
        <v>15.290519877675841</v>
      </c>
      <c r="G16" s="150">
        <f>1/0.0668</f>
        <v>14.970059880239521</v>
      </c>
      <c r="H16" s="150">
        <f>1/0.0636</f>
        <v>15.723270440251572</v>
      </c>
      <c r="I16" s="150">
        <f>1/0.0622</f>
        <v>16.077170418006432</v>
      </c>
      <c r="J16" s="150">
        <f>1/0.0636</f>
        <v>15.723270440251572</v>
      </c>
      <c r="K16" s="150">
        <f>1/0.0636</f>
        <v>15.723270440251572</v>
      </c>
      <c r="L16" s="150">
        <f>1/0.0616</f>
        <v>16.233766233766232</v>
      </c>
      <c r="M16" s="150">
        <f>1/0.0604</f>
        <v>16.556291390728475</v>
      </c>
      <c r="N16" s="150">
        <f>1/0.065</f>
        <v>15.384615384615383</v>
      </c>
      <c r="O16" s="151">
        <f>1/0.0695</f>
        <v>14.388489208633093</v>
      </c>
      <c r="P16" s="150">
        <f>1/0.0611</f>
        <v>16.366612111292962</v>
      </c>
      <c r="Q16" s="150">
        <f>1/0.061</f>
        <v>16.39344262295082</v>
      </c>
      <c r="R16" s="150">
        <f>1/0.0606</f>
        <v>16.5016501650165</v>
      </c>
      <c r="S16" s="150">
        <f>1/0.0588</f>
        <v>17.006802721088437</v>
      </c>
      <c r="T16" s="150">
        <f>1/0.0561</f>
        <v>17.825311942959004</v>
      </c>
      <c r="U16" s="150">
        <f>1/0.0505</f>
        <v>19.801980198019802</v>
      </c>
      <c r="V16" s="150">
        <f>1/0.0595</f>
        <v>16.80672268907563</v>
      </c>
      <c r="W16" s="150">
        <f>1/0.0587</f>
        <v>17.035775127768314</v>
      </c>
      <c r="X16" s="150">
        <f>1/0.0578</f>
        <v>17.301038062283737</v>
      </c>
      <c r="Y16" s="150">
        <f>1/0.052</f>
        <v>19.23076923076923</v>
      </c>
      <c r="Z16" s="150">
        <f>1/0.0578</f>
        <v>17.301038062283737</v>
      </c>
      <c r="AA16" s="150">
        <f>1/0.0574</f>
        <v>17.421602787456447</v>
      </c>
      <c r="AB16" s="150">
        <f>1/0.0572</f>
        <v>17.482517482517483</v>
      </c>
      <c r="AC16" s="150">
        <f>1/0.0572</f>
        <v>17.482517482517483</v>
      </c>
      <c r="AD16" s="150">
        <f>1/0.0594</f>
        <v>16.835016835016834</v>
      </c>
      <c r="AE16" s="150">
        <f>1/0.0621</f>
        <v>16.10305958132045</v>
      </c>
      <c r="AF16" s="150">
        <f>1/0.0599</f>
        <v>16.69449081803005</v>
      </c>
      <c r="AG16" s="150">
        <f>1/0.0585</f>
        <v>17.094017094017094</v>
      </c>
      <c r="AH16" s="150">
        <f>1/0.0573</f>
        <v>17.452006980802793</v>
      </c>
      <c r="AI16" s="150">
        <f>1/0.0573</f>
        <v>17.452006980802793</v>
      </c>
      <c r="AJ16" s="150">
        <f>1/0.0545</f>
        <v>18.34862385321101</v>
      </c>
      <c r="AK16" s="150">
        <f>1/0.0536</f>
        <v>18.65671641791045</v>
      </c>
      <c r="AL16" s="150">
        <f>1/0.0528</f>
        <v>18.93939393939394</v>
      </c>
      <c r="AM16" s="150">
        <f>1/0.0519</f>
        <v>19.267822736030826</v>
      </c>
      <c r="AN16" s="150">
        <f>1/0.0533</f>
        <v>18.76172607879925</v>
      </c>
      <c r="AO16" s="150">
        <f>1/0.0518</f>
        <v>19.305019305019304</v>
      </c>
      <c r="AP16" s="150">
        <f>1/0.0566</f>
        <v>17.6678445229682</v>
      </c>
      <c r="AQ16" s="150">
        <f>1/0.0607</f>
        <v>16.474464579901156</v>
      </c>
      <c r="AR16" s="150">
        <f>1/0.0613</f>
        <v>16.31321370309951</v>
      </c>
    </row>
    <row r="17" spans="2:44" ht="19.5" customHeight="1">
      <c r="B17" s="131" t="s">
        <v>37</v>
      </c>
      <c r="C17" s="152"/>
      <c r="D17" s="152"/>
      <c r="E17" s="152"/>
      <c r="F17" s="134"/>
      <c r="G17" s="134"/>
      <c r="H17" s="134"/>
      <c r="I17" s="134"/>
      <c r="J17" s="134"/>
      <c r="K17" s="134"/>
      <c r="L17" s="134"/>
      <c r="M17" s="134"/>
      <c r="N17" s="134"/>
      <c r="O17" s="136"/>
      <c r="P17" s="137"/>
      <c r="Q17" s="134"/>
      <c r="R17" s="137"/>
      <c r="S17" s="137"/>
      <c r="T17" s="137"/>
      <c r="U17" s="137"/>
      <c r="V17" s="137"/>
      <c r="W17" s="137"/>
      <c r="X17" s="137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</row>
    <row r="18" spans="2:44" ht="19.5" customHeight="1">
      <c r="B18" s="122"/>
      <c r="C18" s="153"/>
      <c r="D18" s="153"/>
      <c r="E18" s="154"/>
      <c r="F18" s="123"/>
      <c r="G18" s="123"/>
      <c r="H18" s="123"/>
      <c r="I18" s="155"/>
      <c r="J18" s="155"/>
      <c r="K18" s="123"/>
      <c r="L18" s="123"/>
      <c r="M18" s="126"/>
      <c r="N18" s="155"/>
      <c r="O18" s="126"/>
      <c r="P18" s="124"/>
      <c r="Q18" s="123"/>
      <c r="R18" s="124"/>
      <c r="S18" s="124"/>
      <c r="T18" s="127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</row>
    <row r="19" spans="2:44" ht="19.5" customHeight="1">
      <c r="B19" s="122"/>
      <c r="C19" s="153"/>
      <c r="D19" s="153"/>
      <c r="E19" s="122"/>
      <c r="F19" s="123"/>
      <c r="G19" s="123"/>
      <c r="H19" s="123"/>
      <c r="I19" s="124"/>
      <c r="J19" s="124"/>
      <c r="K19" s="123"/>
      <c r="L19" s="123"/>
      <c r="M19" s="125"/>
      <c r="N19" s="124"/>
      <c r="O19" s="126"/>
      <c r="P19" s="124"/>
      <c r="Q19" s="123"/>
      <c r="R19" s="124"/>
      <c r="S19" s="124"/>
      <c r="T19" s="127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</row>
    <row r="20" spans="2:44" ht="19.5" customHeight="1">
      <c r="B20" s="156" t="s">
        <v>39</v>
      </c>
      <c r="C20" s="153"/>
      <c r="D20" s="153"/>
      <c r="E20" s="122"/>
      <c r="F20" s="123"/>
      <c r="G20" s="123"/>
      <c r="H20" s="123"/>
      <c r="I20" s="124"/>
      <c r="J20" s="124"/>
      <c r="K20" s="123"/>
      <c r="L20" s="123"/>
      <c r="M20" s="125"/>
      <c r="N20" s="124"/>
      <c r="O20" s="126"/>
      <c r="P20" s="124"/>
      <c r="Q20" s="123"/>
      <c r="R20" s="124"/>
      <c r="S20" s="124"/>
      <c r="T20" s="127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</row>
    <row r="21" spans="2:44" ht="19.5" customHeight="1" thickBot="1">
      <c r="B21" s="157" t="s">
        <v>38</v>
      </c>
      <c r="C21" s="158"/>
      <c r="D21" s="158"/>
      <c r="E21" s="159"/>
      <c r="F21" s="160"/>
      <c r="G21" s="160"/>
      <c r="H21" s="160"/>
      <c r="I21" s="161"/>
      <c r="J21" s="161"/>
      <c r="K21" s="160"/>
      <c r="L21" s="160"/>
      <c r="M21" s="162"/>
      <c r="N21" s="161"/>
      <c r="O21" s="163"/>
      <c r="P21" s="161"/>
      <c r="Q21" s="160"/>
      <c r="R21" s="161"/>
      <c r="S21" s="161"/>
      <c r="T21" s="164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</row>
    <row r="22" ht="19.5" customHeight="1">
      <c r="B22" s="185" t="s">
        <v>157</v>
      </c>
    </row>
  </sheetData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tabSelected="1" zoomScale="75" zoomScaleNormal="75" zoomScaleSheetLayoutView="50" workbookViewId="0" topLeftCell="A1">
      <selection activeCell="A34" sqref="A33:J34"/>
    </sheetView>
  </sheetViews>
  <sheetFormatPr defaultColWidth="9.140625" defaultRowHeight="12"/>
  <cols>
    <col min="11" max="11" width="8.7109375" style="0" customWidth="1"/>
  </cols>
  <sheetData>
    <row r="2" spans="1:15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22"/>
      <c r="L2" s="22"/>
      <c r="M2" s="22"/>
      <c r="N2" s="22"/>
      <c r="O2" s="22"/>
    </row>
    <row r="3" spans="1:15" ht="13.5" customHeight="1">
      <c r="A3" s="23"/>
      <c r="B3" s="19"/>
      <c r="C3" s="24"/>
      <c r="D3" s="24"/>
      <c r="E3" s="24"/>
      <c r="F3" s="24"/>
      <c r="G3" s="24"/>
      <c r="H3" s="24"/>
      <c r="I3" s="23"/>
      <c r="J3" s="23"/>
      <c r="K3" s="22"/>
      <c r="L3" s="22"/>
      <c r="M3" s="22"/>
      <c r="N3" s="22"/>
      <c r="O3" s="22"/>
    </row>
    <row r="4" spans="1:15" ht="15.75">
      <c r="A4" s="198" t="s">
        <v>171</v>
      </c>
      <c r="B4" s="198"/>
      <c r="C4" s="198"/>
      <c r="D4" s="198"/>
      <c r="E4" s="198"/>
      <c r="F4" s="198"/>
      <c r="G4" s="198"/>
      <c r="H4" s="198"/>
      <c r="I4" s="198"/>
      <c r="J4" s="198"/>
      <c r="K4" s="25"/>
      <c r="L4" s="22"/>
      <c r="M4" s="22"/>
      <c r="N4" s="22"/>
      <c r="O4" s="22"/>
    </row>
    <row r="5" spans="1:15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5"/>
      <c r="L5" s="22"/>
      <c r="M5" s="22"/>
      <c r="N5" s="22"/>
      <c r="O5" s="22"/>
    </row>
    <row r="6" spans="1:15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5.75">
      <c r="A34" s="198" t="s">
        <v>172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25"/>
      <c r="L34" s="22"/>
      <c r="M34" s="22"/>
      <c r="N34" s="22"/>
      <c r="O34" s="22"/>
    </row>
    <row r="35" spans="1:15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</sheetData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01"/>
  <sheetViews>
    <sheetView workbookViewId="0" topLeftCell="A1">
      <selection activeCell="F94" sqref="F94"/>
    </sheetView>
  </sheetViews>
  <sheetFormatPr defaultColWidth="9.140625" defaultRowHeight="12"/>
  <cols>
    <col min="2" max="2" width="43.8515625" style="0" bestFit="1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9" t="s">
        <v>95</v>
      </c>
      <c r="C2" s="199"/>
      <c r="D2" s="199"/>
      <c r="E2" s="199"/>
      <c r="F2" s="199"/>
    </row>
    <row r="3" spans="2:6" ht="11.25">
      <c r="B3" s="200" t="s">
        <v>103</v>
      </c>
      <c r="C3" s="200"/>
      <c r="D3" s="200"/>
      <c r="E3" s="200"/>
      <c r="F3" s="200"/>
    </row>
    <row r="4" spans="2:6" ht="11.25">
      <c r="B4" s="66"/>
      <c r="C4" s="67"/>
      <c r="D4" s="67"/>
      <c r="E4" s="65" t="s">
        <v>96</v>
      </c>
      <c r="F4" s="79" t="s">
        <v>115</v>
      </c>
    </row>
    <row r="5" spans="2:6" ht="11.25">
      <c r="B5" s="68"/>
      <c r="C5" s="69">
        <v>38898</v>
      </c>
      <c r="D5" s="69">
        <v>38929</v>
      </c>
      <c r="E5" s="70" t="s">
        <v>46</v>
      </c>
      <c r="F5" s="70" t="s">
        <v>46</v>
      </c>
    </row>
    <row r="6" spans="2:6" ht="11.25">
      <c r="B6" s="176" t="s">
        <v>60</v>
      </c>
      <c r="C6" s="110">
        <v>3535.01393616</v>
      </c>
      <c r="D6" s="110">
        <v>4429.717791720001</v>
      </c>
      <c r="E6" s="110">
        <v>894.7038555600006</v>
      </c>
      <c r="F6" s="112">
        <v>25.309768835929848</v>
      </c>
    </row>
    <row r="7" spans="2:6" ht="11.25">
      <c r="B7" s="176" t="s">
        <v>61</v>
      </c>
      <c r="C7" s="110">
        <v>2688.28158708</v>
      </c>
      <c r="D7" s="110">
        <v>3323.06893531</v>
      </c>
      <c r="E7" s="110">
        <v>634.7873482300001</v>
      </c>
      <c r="F7" s="112">
        <v>23.61312710992837</v>
      </c>
    </row>
    <row r="8" spans="2:6" ht="11.25">
      <c r="B8" s="177" t="s">
        <v>62</v>
      </c>
      <c r="C8" s="111">
        <v>2545.96512482</v>
      </c>
      <c r="D8" s="111">
        <v>3162.61979957</v>
      </c>
      <c r="E8" s="111">
        <v>616.6546747500001</v>
      </c>
      <c r="F8" s="113">
        <v>24.220861029806827</v>
      </c>
    </row>
    <row r="9" spans="2:6" ht="11.25">
      <c r="B9" s="177" t="s">
        <v>63</v>
      </c>
      <c r="C9" s="111">
        <v>1.2E-07</v>
      </c>
      <c r="D9" s="111">
        <v>-6E-08</v>
      </c>
      <c r="E9" s="111">
        <v>-1.7999999999999997E-07</v>
      </c>
      <c r="F9" s="114">
        <v>0</v>
      </c>
    </row>
    <row r="10" spans="2:6" ht="11.25">
      <c r="B10" s="177" t="s">
        <v>64</v>
      </c>
      <c r="C10" s="111">
        <v>142.31646214</v>
      </c>
      <c r="D10" s="111">
        <v>160.4491358</v>
      </c>
      <c r="E10" s="111">
        <v>18.132673659999995</v>
      </c>
      <c r="F10" s="114">
        <v>12.741093607401838</v>
      </c>
    </row>
    <row r="11" spans="2:6" ht="11.25">
      <c r="B11" s="176" t="s">
        <v>65</v>
      </c>
      <c r="C11" s="110">
        <v>846.7323490800001</v>
      </c>
      <c r="D11" s="110">
        <v>1106.64885641</v>
      </c>
      <c r="E11" s="110">
        <v>259.91650732999994</v>
      </c>
      <c r="F11" s="112">
        <v>30.696418722209796</v>
      </c>
    </row>
    <row r="12" spans="2:6" ht="11.25">
      <c r="B12" s="177" t="s">
        <v>147</v>
      </c>
      <c r="C12" s="111">
        <v>833.0547874600001</v>
      </c>
      <c r="D12" s="111">
        <v>1093.02940354</v>
      </c>
      <c r="E12" s="111">
        <v>259.9746160799999</v>
      </c>
      <c r="F12" s="114">
        <v>31.207385155623136</v>
      </c>
    </row>
    <row r="13" spans="2:6" ht="11.25">
      <c r="B13" s="177" t="s">
        <v>97</v>
      </c>
      <c r="C13" s="111">
        <v>0</v>
      </c>
      <c r="D13" s="111">
        <v>0</v>
      </c>
      <c r="E13" s="111">
        <v>0</v>
      </c>
      <c r="F13" s="114">
        <v>0</v>
      </c>
    </row>
    <row r="14" spans="2:6" ht="11.25">
      <c r="B14" s="177" t="s">
        <v>66</v>
      </c>
      <c r="C14" s="111">
        <v>13.677561620000002</v>
      </c>
      <c r="D14" s="111">
        <v>13.619452869999998</v>
      </c>
      <c r="E14" s="111">
        <v>-0.05810875000000415</v>
      </c>
      <c r="F14" s="114">
        <v>-0.42484729087262657</v>
      </c>
    </row>
    <row r="15" spans="2:6" ht="11.25">
      <c r="B15" s="178"/>
      <c r="C15" s="110"/>
      <c r="D15" s="110"/>
      <c r="E15" s="110"/>
      <c r="F15" s="112"/>
    </row>
    <row r="16" spans="2:6" ht="11.25">
      <c r="B16" s="176" t="s">
        <v>67</v>
      </c>
      <c r="C16" s="110">
        <v>3535.017240580004</v>
      </c>
      <c r="D16" s="110">
        <v>4429.7077761300025</v>
      </c>
      <c r="E16" s="110">
        <v>894.6905355499985</v>
      </c>
      <c r="F16" s="112">
        <v>25.309368375335083</v>
      </c>
    </row>
    <row r="17" spans="2:6" ht="11.25">
      <c r="B17" s="176" t="s">
        <v>68</v>
      </c>
      <c r="C17" s="110">
        <v>1330.1605976800042</v>
      </c>
      <c r="D17" s="110">
        <v>1378.859082670002</v>
      </c>
      <c r="E17" s="110">
        <v>48.69848498999772</v>
      </c>
      <c r="F17" s="112">
        <v>3.6610981467151444</v>
      </c>
    </row>
    <row r="18" spans="2:6" ht="11.25">
      <c r="B18" s="177" t="s">
        <v>69</v>
      </c>
      <c r="C18" s="111">
        <v>976.42322225</v>
      </c>
      <c r="D18" s="111">
        <v>1009.44508875</v>
      </c>
      <c r="E18" s="111">
        <v>33.02186649999999</v>
      </c>
      <c r="F18" s="114">
        <v>3.3819214606455956</v>
      </c>
    </row>
    <row r="19" spans="2:6" ht="11.25">
      <c r="B19" s="177" t="s">
        <v>70</v>
      </c>
      <c r="C19" s="111">
        <v>353.73737543000414</v>
      </c>
      <c r="D19" s="111">
        <v>369.413993920002</v>
      </c>
      <c r="E19" s="111">
        <v>15.67661848999785</v>
      </c>
      <c r="F19" s="114">
        <v>4.431711088188323</v>
      </c>
    </row>
    <row r="20" spans="2:6" ht="11.25">
      <c r="B20" s="176" t="s">
        <v>148</v>
      </c>
      <c r="C20" s="110">
        <v>2327.4128432</v>
      </c>
      <c r="D20" s="110">
        <v>3175.24230259</v>
      </c>
      <c r="E20" s="110">
        <v>847.8294593899996</v>
      </c>
      <c r="F20" s="112">
        <v>36.42797889798976</v>
      </c>
    </row>
    <row r="21" spans="2:6" ht="11.25">
      <c r="B21" s="177" t="s">
        <v>98</v>
      </c>
      <c r="C21" s="111">
        <v>1348.1657749800002</v>
      </c>
      <c r="D21" s="111">
        <v>2227.70533359</v>
      </c>
      <c r="E21" s="111">
        <v>879.5395586099999</v>
      </c>
      <c r="F21" s="114">
        <v>65.23971865574526</v>
      </c>
    </row>
    <row r="22" spans="2:6" ht="11.25">
      <c r="B22" s="179" t="s">
        <v>71</v>
      </c>
      <c r="C22" s="111">
        <v>979.2470682200001</v>
      </c>
      <c r="D22" s="111">
        <v>947.536969</v>
      </c>
      <c r="E22" s="111">
        <v>-31.710099220000075</v>
      </c>
      <c r="F22" s="114">
        <v>-3.2382123213950744</v>
      </c>
    </row>
    <row r="23" spans="2:6" ht="11.25">
      <c r="B23" s="111" t="s">
        <v>0</v>
      </c>
      <c r="C23" s="111">
        <v>2.84435928</v>
      </c>
      <c r="D23" s="111">
        <v>1.8699082699999998</v>
      </c>
      <c r="E23" s="111">
        <v>-0.9744510100000001</v>
      </c>
      <c r="F23" s="114">
        <v>-34.25906905825203</v>
      </c>
    </row>
    <row r="24" spans="2:6" ht="11.25">
      <c r="B24" s="111" t="s">
        <v>150</v>
      </c>
      <c r="C24" s="111">
        <v>10.358953059999964</v>
      </c>
      <c r="D24" s="111">
        <v>9.934201830000031</v>
      </c>
      <c r="E24" s="111">
        <v>-0.42475122999993253</v>
      </c>
      <c r="F24" s="114">
        <v>-4.100329710345594</v>
      </c>
    </row>
    <row r="25" spans="2:6" ht="11.25">
      <c r="B25" s="110" t="s">
        <v>133</v>
      </c>
      <c r="C25" s="110">
        <v>-135.75951264</v>
      </c>
      <c r="D25" s="110">
        <v>-136.19771923000002</v>
      </c>
      <c r="E25" s="110">
        <v>-0.4382065900000214</v>
      </c>
      <c r="F25" s="112">
        <v>0.3227814990482728</v>
      </c>
    </row>
    <row r="26" spans="2:6" ht="12" customHeight="1" hidden="1" thickBot="1">
      <c r="B26" s="180" t="s">
        <v>92</v>
      </c>
      <c r="C26" s="170">
        <v>0.0426320699975804</v>
      </c>
      <c r="D26" s="170">
        <v>-0.0040617569979986</v>
      </c>
      <c r="E26" s="170">
        <v>-0.046693826995579</v>
      </c>
      <c r="F26" s="170">
        <v>-0.001160139241198621</v>
      </c>
    </row>
    <row r="27" spans="2:6" ht="11.25">
      <c r="B27" s="73"/>
      <c r="C27" s="74"/>
      <c r="D27" s="74"/>
      <c r="E27" s="74"/>
      <c r="F27" s="75"/>
    </row>
    <row r="28" spans="2:6" ht="11.25">
      <c r="B28" s="73"/>
      <c r="C28" s="74"/>
      <c r="D28" s="74"/>
      <c r="E28" s="74"/>
      <c r="F28" s="75"/>
    </row>
    <row r="29" spans="2:6" ht="12" thickBot="1">
      <c r="B29" s="73"/>
      <c r="C29" s="74"/>
      <c r="D29" s="74"/>
      <c r="E29" s="74"/>
      <c r="F29" s="75"/>
    </row>
    <row r="30" spans="2:6" ht="11.25">
      <c r="B30" s="199" t="s">
        <v>95</v>
      </c>
      <c r="C30" s="199"/>
      <c r="D30" s="199"/>
      <c r="E30" s="199"/>
      <c r="F30" s="199"/>
    </row>
    <row r="31" spans="2:6" ht="11.25">
      <c r="B31" s="200" t="s">
        <v>72</v>
      </c>
      <c r="C31" s="200"/>
      <c r="D31" s="200"/>
      <c r="E31" s="200"/>
      <c r="F31" s="200"/>
    </row>
    <row r="32" spans="2:6" ht="11.25">
      <c r="B32" s="66"/>
      <c r="C32" s="66" t="s">
        <v>154</v>
      </c>
      <c r="D32" s="67"/>
      <c r="E32" s="65" t="s">
        <v>96</v>
      </c>
      <c r="F32" s="79" t="s">
        <v>115</v>
      </c>
    </row>
    <row r="33" spans="2:6" ht="11.25">
      <c r="B33" s="68"/>
      <c r="C33" s="69">
        <v>38898</v>
      </c>
      <c r="D33" s="69">
        <v>38929</v>
      </c>
      <c r="E33" s="70" t="s">
        <v>46</v>
      </c>
      <c r="F33" s="70" t="s">
        <v>46</v>
      </c>
    </row>
    <row r="34" spans="2:6" ht="11.25">
      <c r="B34" s="53" t="s">
        <v>60</v>
      </c>
      <c r="C34" s="110">
        <v>33214.2743146</v>
      </c>
      <c r="D34" s="110">
        <v>34050.94952699001</v>
      </c>
      <c r="E34" s="110">
        <v>836.6752123900078</v>
      </c>
      <c r="F34" s="112">
        <v>2.519023009399999</v>
      </c>
    </row>
    <row r="35" spans="2:6" ht="11.25">
      <c r="B35" s="53" t="s">
        <v>61</v>
      </c>
      <c r="C35" s="110">
        <v>1029.312</v>
      </c>
      <c r="D35" s="110">
        <v>1188.15</v>
      </c>
      <c r="E35" s="110">
        <v>158.8380000000002</v>
      </c>
      <c r="F35" s="112">
        <v>15.431472673008786</v>
      </c>
    </row>
    <row r="36" spans="2:6" ht="11.25">
      <c r="B36" s="72" t="s">
        <v>73</v>
      </c>
      <c r="C36" s="111">
        <v>59.045</v>
      </c>
      <c r="D36" s="111">
        <v>64.189</v>
      </c>
      <c r="E36" s="111">
        <v>5.143999999999991</v>
      </c>
      <c r="F36" s="114">
        <v>8.711999322550582</v>
      </c>
    </row>
    <row r="37" spans="2:6" ht="11.25">
      <c r="B37" s="72" t="s">
        <v>62</v>
      </c>
      <c r="C37" s="111">
        <v>924.676</v>
      </c>
      <c r="D37" s="111">
        <v>1077.282</v>
      </c>
      <c r="E37" s="111">
        <v>152.60599999999988</v>
      </c>
      <c r="F37" s="114">
        <v>16.503726710761377</v>
      </c>
    </row>
    <row r="38" spans="2:6" ht="11.25">
      <c r="B38" s="72" t="s">
        <v>74</v>
      </c>
      <c r="C38" s="111">
        <v>45.591</v>
      </c>
      <c r="D38" s="111">
        <v>46.679</v>
      </c>
      <c r="E38" s="111">
        <v>1.088000000000001</v>
      </c>
      <c r="F38" s="114">
        <v>2.3864359193700535</v>
      </c>
    </row>
    <row r="39" spans="2:6" ht="11.25">
      <c r="B39" s="72" t="s">
        <v>75</v>
      </c>
      <c r="C39" s="111">
        <v>0</v>
      </c>
      <c r="D39" s="111">
        <v>0</v>
      </c>
      <c r="E39" s="111">
        <v>0</v>
      </c>
      <c r="F39" s="114">
        <v>0</v>
      </c>
    </row>
    <row r="40" spans="2:6" ht="11.25">
      <c r="B40" s="53" t="s">
        <v>65</v>
      </c>
      <c r="C40" s="110">
        <v>30286.76049525</v>
      </c>
      <c r="D40" s="110">
        <v>30729.969875630002</v>
      </c>
      <c r="E40" s="110">
        <v>443.2093803800017</v>
      </c>
      <c r="F40" s="112">
        <v>1.4633766475272654</v>
      </c>
    </row>
    <row r="41" spans="2:6" ht="11.25">
      <c r="B41" s="72" t="s">
        <v>99</v>
      </c>
      <c r="C41" s="111">
        <v>587.1030000000001</v>
      </c>
      <c r="D41" s="111">
        <v>632.818</v>
      </c>
      <c r="E41" s="111">
        <v>45.71499999999992</v>
      </c>
      <c r="F41" s="114">
        <v>7.786538307588262</v>
      </c>
    </row>
    <row r="42" spans="2:6" ht="11.25">
      <c r="B42" s="72" t="s">
        <v>97</v>
      </c>
      <c r="C42" s="111">
        <v>2661.886</v>
      </c>
      <c r="D42" s="111">
        <v>2555.769</v>
      </c>
      <c r="E42" s="111">
        <v>-106.11700000000019</v>
      </c>
      <c r="F42" s="114">
        <v>-3.986534359472952</v>
      </c>
    </row>
    <row r="43" spans="2:6" ht="11.25">
      <c r="B43" s="72" t="s">
        <v>53</v>
      </c>
      <c r="C43" s="111">
        <v>830.969</v>
      </c>
      <c r="D43" s="111">
        <v>625.327</v>
      </c>
      <c r="E43" s="111">
        <v>-205.64200000000005</v>
      </c>
      <c r="F43" s="114">
        <v>-24.747252905944748</v>
      </c>
    </row>
    <row r="44" spans="2:6" ht="11.25">
      <c r="B44" s="72" t="s">
        <v>100</v>
      </c>
      <c r="C44" s="111">
        <v>24.952</v>
      </c>
      <c r="D44" s="111">
        <v>20.806</v>
      </c>
      <c r="E44" s="111">
        <v>-4.146000000000001</v>
      </c>
      <c r="F44" s="114">
        <v>-16.6159025328631</v>
      </c>
    </row>
    <row r="45" spans="2:6" ht="11.25">
      <c r="B45" s="72" t="s">
        <v>111</v>
      </c>
      <c r="C45" s="111">
        <v>404.944</v>
      </c>
      <c r="D45" s="111">
        <v>402.979</v>
      </c>
      <c r="E45" s="111">
        <v>-1.9650000000000318</v>
      </c>
      <c r="F45" s="114">
        <v>-0.48525228179699703</v>
      </c>
    </row>
    <row r="46" spans="2:6" ht="11.25">
      <c r="B46" s="72" t="s">
        <v>76</v>
      </c>
      <c r="C46" s="111">
        <v>9033.559</v>
      </c>
      <c r="D46" s="111">
        <v>9385.065999999999</v>
      </c>
      <c r="E46" s="111">
        <v>351.5069999999996</v>
      </c>
      <c r="F46" s="114">
        <v>3.89112419590108</v>
      </c>
    </row>
    <row r="47" spans="2:6" ht="11.25">
      <c r="B47" s="72" t="s">
        <v>54</v>
      </c>
      <c r="C47" s="111">
        <v>16743.34749525</v>
      </c>
      <c r="D47" s="111">
        <v>17107.204875630003</v>
      </c>
      <c r="E47" s="111">
        <v>363.8573803800027</v>
      </c>
      <c r="F47" s="114">
        <v>2.1731459642895614</v>
      </c>
    </row>
    <row r="48" spans="2:6" ht="11.25">
      <c r="B48" s="76" t="s">
        <v>77</v>
      </c>
      <c r="C48" s="111">
        <v>1898.2018193499998</v>
      </c>
      <c r="D48" s="111">
        <v>2132.82965136</v>
      </c>
      <c r="E48" s="111">
        <v>234.62783201000002</v>
      </c>
      <c r="F48" s="114">
        <v>12.360531404945313</v>
      </c>
    </row>
    <row r="49" spans="2:6" ht="11.25">
      <c r="B49" s="77"/>
      <c r="C49" s="110"/>
      <c r="D49" s="110"/>
      <c r="E49" s="110"/>
      <c r="F49" s="114"/>
    </row>
    <row r="50" spans="2:6" ht="11.25">
      <c r="B50" s="53" t="s">
        <v>67</v>
      </c>
      <c r="C50" s="110">
        <v>33214.27476274</v>
      </c>
      <c r="D50" s="110">
        <v>34050.949632820004</v>
      </c>
      <c r="E50" s="110">
        <v>836.6748700800017</v>
      </c>
      <c r="F50" s="112">
        <v>2.5190219448012434</v>
      </c>
    </row>
    <row r="51" spans="2:6" ht="11.25">
      <c r="B51" s="76" t="s">
        <v>78</v>
      </c>
      <c r="C51" s="110">
        <v>2248.26024805</v>
      </c>
      <c r="D51" s="110">
        <v>2205.37366992</v>
      </c>
      <c r="E51" s="110">
        <v>-42.88657813000009</v>
      </c>
      <c r="F51" s="112">
        <v>-1.9075450970232302</v>
      </c>
    </row>
    <row r="52" spans="2:6" ht="11.25">
      <c r="B52" s="72" t="s">
        <v>62</v>
      </c>
      <c r="C52" s="111">
        <v>1846.93980568</v>
      </c>
      <c r="D52" s="111">
        <v>1360.62480568</v>
      </c>
      <c r="E52" s="111">
        <v>-486.315</v>
      </c>
      <c r="F52" s="114">
        <v>-26.33085271671592</v>
      </c>
    </row>
    <row r="53" spans="2:6" ht="11.25">
      <c r="B53" s="72" t="s">
        <v>134</v>
      </c>
      <c r="C53" s="111">
        <v>102.133</v>
      </c>
      <c r="D53" s="111">
        <v>100.688</v>
      </c>
      <c r="E53" s="111">
        <v>-1.4449999999999932</v>
      </c>
      <c r="F53" s="114">
        <v>-1.414821849940757</v>
      </c>
    </row>
    <row r="54" spans="2:6" ht="11.25">
      <c r="B54" s="72" t="s">
        <v>74</v>
      </c>
      <c r="C54" s="111">
        <v>299.18744237</v>
      </c>
      <c r="D54" s="111">
        <v>744.06086424</v>
      </c>
      <c r="E54" s="111">
        <v>444.87342187</v>
      </c>
      <c r="F54" s="114">
        <v>148.69388178392617</v>
      </c>
    </row>
    <row r="55" spans="2:6" ht="11.25">
      <c r="B55" s="72" t="s">
        <v>79</v>
      </c>
      <c r="C55" s="111">
        <v>0</v>
      </c>
      <c r="D55" s="111">
        <v>0</v>
      </c>
      <c r="E55" s="111">
        <v>0</v>
      </c>
      <c r="F55" s="114">
        <v>0</v>
      </c>
    </row>
    <row r="56" spans="2:6" ht="11.25">
      <c r="B56" s="53" t="s">
        <v>80</v>
      </c>
      <c r="C56" s="110">
        <v>30966.014514690003</v>
      </c>
      <c r="D56" s="110">
        <v>31845.575962900002</v>
      </c>
      <c r="E56" s="110">
        <v>879.5614482099991</v>
      </c>
      <c r="F56" s="112">
        <v>2.8404089515386066</v>
      </c>
    </row>
    <row r="57" spans="2:6" ht="11.25">
      <c r="B57" s="72" t="s">
        <v>81</v>
      </c>
      <c r="C57" s="111">
        <v>19796.21372454</v>
      </c>
      <c r="D57" s="111">
        <v>20221.37066152</v>
      </c>
      <c r="E57" s="111">
        <v>425.15693697999814</v>
      </c>
      <c r="F57" s="114">
        <v>2.147667947497255</v>
      </c>
    </row>
    <row r="58" spans="2:6" ht="11.25">
      <c r="B58" s="78" t="s">
        <v>82</v>
      </c>
      <c r="C58" s="111">
        <v>11350.18346427</v>
      </c>
      <c r="D58" s="111">
        <v>11727.1878259</v>
      </c>
      <c r="E58" s="111">
        <v>377.00436163000086</v>
      </c>
      <c r="F58" s="114">
        <v>3.321570640834116</v>
      </c>
    </row>
    <row r="59" spans="2:6" ht="11.25">
      <c r="B59" s="78" t="s">
        <v>79</v>
      </c>
      <c r="C59" s="111">
        <v>8446.030260270001</v>
      </c>
      <c r="D59" s="111">
        <v>8494.18283562</v>
      </c>
      <c r="E59" s="111">
        <v>48.1525753499991</v>
      </c>
      <c r="F59" s="114">
        <v>0.570120800732956</v>
      </c>
    </row>
    <row r="60" spans="2:6" ht="11.25">
      <c r="B60" s="72" t="s">
        <v>83</v>
      </c>
      <c r="C60" s="111">
        <v>267.489</v>
      </c>
      <c r="D60" s="111">
        <v>441.60799999999995</v>
      </c>
      <c r="E60" s="111">
        <v>174.11899999999997</v>
      </c>
      <c r="F60" s="114">
        <v>65.09389171143486</v>
      </c>
    </row>
    <row r="61" spans="2:6" ht="11.25">
      <c r="B61" s="72" t="s">
        <v>135</v>
      </c>
      <c r="C61" s="111">
        <v>9.533504890000001</v>
      </c>
      <c r="D61" s="111">
        <v>7.981830309999999</v>
      </c>
      <c r="E61" s="111">
        <v>-1.551674580000002</v>
      </c>
      <c r="F61" s="114">
        <v>-16.276013888948683</v>
      </c>
    </row>
    <row r="62" spans="2:6" ht="11.25">
      <c r="B62" s="72" t="s">
        <v>136</v>
      </c>
      <c r="C62" s="111">
        <v>3967.884</v>
      </c>
      <c r="D62" s="111">
        <v>3864.947</v>
      </c>
      <c r="E62" s="111">
        <v>-102.9369999999999</v>
      </c>
      <c r="F62" s="114">
        <v>-2.5942542675138665</v>
      </c>
    </row>
    <row r="63" spans="2:6" ht="11.25">
      <c r="B63" s="72" t="s">
        <v>137</v>
      </c>
      <c r="C63" s="111">
        <v>703.27530393</v>
      </c>
      <c r="D63" s="111">
        <v>697.42835167</v>
      </c>
      <c r="E63" s="111">
        <v>-5.846952259999966</v>
      </c>
      <c r="F63" s="114">
        <v>-0.8313888213230844</v>
      </c>
    </row>
    <row r="64" spans="2:6" ht="11.25">
      <c r="B64" s="72" t="s">
        <v>138</v>
      </c>
      <c r="C64" s="111">
        <v>430.57399999999996</v>
      </c>
      <c r="D64" s="111">
        <v>795.8040000000001</v>
      </c>
      <c r="E64" s="111">
        <v>365.23</v>
      </c>
      <c r="F64" s="114">
        <v>84.82397915340921</v>
      </c>
    </row>
    <row r="65" spans="2:6" ht="11.25">
      <c r="B65" s="72" t="s">
        <v>74</v>
      </c>
      <c r="C65" s="111">
        <v>5.615</v>
      </c>
      <c r="D65" s="111">
        <v>5.615</v>
      </c>
      <c r="E65" s="111">
        <v>0</v>
      </c>
      <c r="F65" s="114">
        <v>0</v>
      </c>
    </row>
    <row r="66" spans="2:6" ht="11.25">
      <c r="B66" s="72" t="s">
        <v>101</v>
      </c>
      <c r="C66" s="111">
        <v>0</v>
      </c>
      <c r="D66" s="111">
        <v>0</v>
      </c>
      <c r="E66" s="111">
        <v>0</v>
      </c>
      <c r="F66" s="114">
        <v>0</v>
      </c>
    </row>
    <row r="67" spans="2:6" ht="11.25">
      <c r="B67" s="72" t="s">
        <v>84</v>
      </c>
      <c r="C67" s="111">
        <v>4300.661519939999</v>
      </c>
      <c r="D67" s="111">
        <v>4313.6066794299995</v>
      </c>
      <c r="E67" s="111">
        <v>12.945159490000151</v>
      </c>
      <c r="F67" s="114">
        <v>0.3010039136997872</v>
      </c>
    </row>
    <row r="68" spans="2:6" ht="11.25">
      <c r="B68" s="72" t="s">
        <v>139</v>
      </c>
      <c r="C68" s="111">
        <v>1516.31160886</v>
      </c>
      <c r="D68" s="111">
        <v>1498.14047527</v>
      </c>
      <c r="E68" s="111">
        <v>-18.171133589999954</v>
      </c>
      <c r="F68" s="114">
        <v>-1.1983772651890106</v>
      </c>
    </row>
    <row r="69" spans="2:6" ht="11.25">
      <c r="B69" s="72" t="s">
        <v>140</v>
      </c>
      <c r="C69" s="111">
        <v>-31.54314746999992</v>
      </c>
      <c r="D69" s="111">
        <v>-0.9260353000000753</v>
      </c>
      <c r="E69" s="111">
        <v>30.617112169999842</v>
      </c>
      <c r="F69" s="114">
        <v>-97.06422670445043</v>
      </c>
    </row>
    <row r="70" spans="2:6" ht="12" customHeight="1" hidden="1" thickBot="1">
      <c r="B70" s="72" t="s">
        <v>140</v>
      </c>
      <c r="C70" s="111"/>
      <c r="D70" s="111"/>
      <c r="E70" s="111"/>
      <c r="F70" s="56">
        <v>2733.0121522821037</v>
      </c>
    </row>
    <row r="71" spans="2:6" ht="12" customHeight="1" hidden="1">
      <c r="B71" s="17"/>
      <c r="C71" s="171">
        <v>-0.0001529200017102994</v>
      </c>
      <c r="D71" s="171">
        <v>7.900999844423495E-05</v>
      </c>
      <c r="E71" s="171">
        <v>0.00023193000015453435</v>
      </c>
      <c r="F71" s="53"/>
    </row>
    <row r="72" spans="2:6" ht="12" customHeight="1">
      <c r="B72" s="17"/>
      <c r="C72" s="110"/>
      <c r="D72" s="110"/>
      <c r="E72" s="53"/>
      <c r="F72" s="53"/>
    </row>
    <row r="73" spans="2:6" ht="12" customHeight="1">
      <c r="B73" s="72"/>
      <c r="C73" s="110"/>
      <c r="D73" s="110"/>
      <c r="E73" s="53"/>
      <c r="F73" s="53"/>
    </row>
    <row r="74" ht="11.25">
      <c r="B74" s="101" t="s">
        <v>160</v>
      </c>
    </row>
    <row r="75" ht="11.25">
      <c r="B75" s="92" t="s">
        <v>161</v>
      </c>
    </row>
    <row r="76" ht="12" thickBot="1">
      <c r="B76" s="92"/>
    </row>
    <row r="77" spans="2:6" ht="11.25">
      <c r="B77" s="199" t="s">
        <v>156</v>
      </c>
      <c r="C77" s="199"/>
      <c r="D77" s="199"/>
      <c r="E77" s="199"/>
      <c r="F77" s="199"/>
    </row>
    <row r="78" spans="2:6" ht="11.25">
      <c r="B78" s="200" t="s">
        <v>94</v>
      </c>
      <c r="C78" s="200"/>
      <c r="D78" s="200"/>
      <c r="E78" s="200"/>
      <c r="F78" s="200"/>
    </row>
    <row r="79" spans="2:6" ht="11.25">
      <c r="B79" s="66"/>
      <c r="C79" s="67" t="s">
        <v>154</v>
      </c>
      <c r="D79" s="67"/>
      <c r="E79" s="65" t="s">
        <v>96</v>
      </c>
      <c r="F79" s="79" t="s">
        <v>115</v>
      </c>
    </row>
    <row r="80" spans="2:6" ht="11.25">
      <c r="B80" s="68"/>
      <c r="C80" s="69">
        <v>38898</v>
      </c>
      <c r="D80" s="69">
        <v>38929</v>
      </c>
      <c r="E80" s="70" t="s">
        <v>46</v>
      </c>
      <c r="F80" s="70" t="s">
        <v>46</v>
      </c>
    </row>
    <row r="81" spans="2:9" ht="11.25">
      <c r="B81" s="52" t="s">
        <v>60</v>
      </c>
      <c r="C81" s="110">
        <v>31173.284763049996</v>
      </c>
      <c r="D81" s="110">
        <v>31768.917673840006</v>
      </c>
      <c r="E81" s="110">
        <v>595.6329107900092</v>
      </c>
      <c r="F81" s="112">
        <v>1.910715907282311</v>
      </c>
      <c r="G81" s="94"/>
      <c r="H81" s="94"/>
      <c r="I81" s="93"/>
    </row>
    <row r="82" spans="2:9" ht="11.25">
      <c r="B82" s="52" t="s">
        <v>1</v>
      </c>
      <c r="C82" s="110">
        <v>1458.9743859700002</v>
      </c>
      <c r="D82" s="110">
        <v>2295.9110635600005</v>
      </c>
      <c r="E82" s="110">
        <v>836.9366775900003</v>
      </c>
      <c r="F82" s="112">
        <v>57.364727279537696</v>
      </c>
      <c r="G82" s="94"/>
      <c r="H82" s="94"/>
      <c r="I82" s="93"/>
    </row>
    <row r="83" spans="2:8" ht="11.25">
      <c r="B83" s="52" t="s">
        <v>85</v>
      </c>
      <c r="C83" s="110">
        <v>27661.893977959997</v>
      </c>
      <c r="D83" s="110">
        <v>27185.637643240003</v>
      </c>
      <c r="E83" s="110">
        <v>-476.2563347199939</v>
      </c>
      <c r="F83" s="112">
        <v>-1.7217054446794489</v>
      </c>
      <c r="G83" s="95"/>
      <c r="H83" s="95"/>
    </row>
    <row r="84" spans="2:8" ht="11.25">
      <c r="B84" s="54" t="s">
        <v>141</v>
      </c>
      <c r="C84" s="111">
        <v>610.4449210899998</v>
      </c>
      <c r="D84" s="111">
        <v>-369.36468526</v>
      </c>
      <c r="E84" s="111">
        <v>-979.8096063499997</v>
      </c>
      <c r="F84" s="114">
        <v>-160.50745489051968</v>
      </c>
      <c r="G84" s="95"/>
      <c r="H84" s="95"/>
    </row>
    <row r="85" spans="2:8" ht="11.25">
      <c r="B85" s="54" t="s">
        <v>86</v>
      </c>
      <c r="C85" s="111">
        <v>27051.44905687</v>
      </c>
      <c r="D85" s="111">
        <v>27555.002328500002</v>
      </c>
      <c r="E85" s="111">
        <v>503.553271630004</v>
      </c>
      <c r="F85" s="114">
        <v>1.861465057089507</v>
      </c>
      <c r="G85" s="95"/>
      <c r="H85" s="95"/>
    </row>
    <row r="86" spans="2:8" ht="11.25">
      <c r="B86" s="172" t="s">
        <v>142</v>
      </c>
      <c r="C86" s="111">
        <v>830.969</v>
      </c>
      <c r="D86" s="111">
        <v>625.327</v>
      </c>
      <c r="E86" s="111">
        <v>-205.64200000000005</v>
      </c>
      <c r="F86" s="114">
        <v>-24.747252905944748</v>
      </c>
      <c r="G86" s="95"/>
      <c r="H86" s="95"/>
    </row>
    <row r="87" spans="2:8" ht="11.25">
      <c r="B87" s="172" t="s">
        <v>143</v>
      </c>
      <c r="C87" s="111">
        <v>24.952</v>
      </c>
      <c r="D87" s="111">
        <v>20.806</v>
      </c>
      <c r="E87" s="111">
        <v>-4.146000000000001</v>
      </c>
      <c r="F87" s="114">
        <v>-16.6159025328631</v>
      </c>
      <c r="G87" s="95"/>
      <c r="H87" s="95"/>
    </row>
    <row r="88" spans="2:8" ht="11.25">
      <c r="B88" s="172" t="s">
        <v>144</v>
      </c>
      <c r="C88" s="111">
        <v>404.944</v>
      </c>
      <c r="D88" s="111">
        <v>402.979</v>
      </c>
      <c r="E88" s="111">
        <v>-1.9650000000000318</v>
      </c>
      <c r="F88" s="114">
        <v>-0.48525228179699703</v>
      </c>
      <c r="G88" s="95"/>
      <c r="H88" s="95"/>
    </row>
    <row r="89" spans="2:8" ht="11.25">
      <c r="B89" s="172" t="s">
        <v>145</v>
      </c>
      <c r="C89" s="111">
        <v>9033.559</v>
      </c>
      <c r="D89" s="111">
        <v>9385.065999999999</v>
      </c>
      <c r="E89" s="111">
        <v>351.5069999999996</v>
      </c>
      <c r="F89" s="114">
        <v>3.89112419590108</v>
      </c>
      <c r="G89" s="95"/>
      <c r="H89" s="95"/>
    </row>
    <row r="90" spans="2:8" ht="11.25">
      <c r="B90" s="172" t="s">
        <v>146</v>
      </c>
      <c r="C90" s="111">
        <v>16757.02505687</v>
      </c>
      <c r="D90" s="111">
        <v>17120.824328500003</v>
      </c>
      <c r="E90" s="111">
        <v>363.7992716300032</v>
      </c>
      <c r="F90" s="114">
        <v>2.1710254081219134</v>
      </c>
      <c r="G90" s="95"/>
      <c r="H90" s="95"/>
    </row>
    <row r="91" spans="2:9" ht="11.25">
      <c r="B91" s="52" t="s">
        <v>77</v>
      </c>
      <c r="C91" s="110">
        <v>2052.41639912</v>
      </c>
      <c r="D91" s="110">
        <v>2287.36896704</v>
      </c>
      <c r="E91" s="110">
        <v>234.9525679200001</v>
      </c>
      <c r="F91" s="112">
        <v>11.4476072214556</v>
      </c>
      <c r="G91" s="94"/>
      <c r="H91" s="94"/>
      <c r="I91" s="93"/>
    </row>
    <row r="92" spans="2:8" ht="11.25">
      <c r="B92" s="31"/>
      <c r="C92" s="111"/>
      <c r="D92" s="111"/>
      <c r="E92" s="110"/>
      <c r="F92" s="112"/>
      <c r="G92" s="95"/>
      <c r="H92" s="95"/>
    </row>
    <row r="93" spans="2:9" ht="11.25">
      <c r="B93" s="52" t="s">
        <v>67</v>
      </c>
      <c r="C93" s="110">
        <v>31173.30337969</v>
      </c>
      <c r="D93" s="110">
        <v>31768.922093060002</v>
      </c>
      <c r="E93" s="110">
        <v>595.6187133700005</v>
      </c>
      <c r="F93" s="112">
        <v>1.9106692226851307</v>
      </c>
      <c r="G93" s="94"/>
      <c r="H93" s="94"/>
      <c r="I93" s="93"/>
    </row>
    <row r="94" spans="2:8" ht="11.25">
      <c r="B94" s="52" t="s">
        <v>87</v>
      </c>
      <c r="C94" s="110">
        <v>20548.77707638</v>
      </c>
      <c r="D94" s="110">
        <v>20972.97514111</v>
      </c>
      <c r="E94" s="110">
        <v>424.1980647300006</v>
      </c>
      <c r="F94" s="112">
        <v>2.064347007869385</v>
      </c>
      <c r="G94" s="95"/>
      <c r="H94" s="95"/>
    </row>
    <row r="95" spans="2:8" ht="11.25">
      <c r="B95" s="54" t="s">
        <v>88</v>
      </c>
      <c r="C95" s="111">
        <v>726.73722225</v>
      </c>
      <c r="D95" s="111">
        <v>727.4090887499999</v>
      </c>
      <c r="E95" s="111">
        <v>0.6718664999999646</v>
      </c>
      <c r="F95" s="114">
        <v>0.0924497162701872</v>
      </c>
      <c r="G95" s="95"/>
      <c r="H95" s="95"/>
    </row>
    <row r="96" spans="2:8" ht="11.25">
      <c r="B96" s="54" t="s">
        <v>89</v>
      </c>
      <c r="C96" s="111">
        <v>11366.50959386</v>
      </c>
      <c r="D96" s="111">
        <v>11743.383216740001</v>
      </c>
      <c r="E96" s="111">
        <v>376.87362288000077</v>
      </c>
      <c r="F96" s="114">
        <v>3.315649538391114</v>
      </c>
      <c r="G96" s="95"/>
      <c r="H96" s="95"/>
    </row>
    <row r="97" spans="2:8" ht="11.25">
      <c r="B97" s="54" t="s">
        <v>90</v>
      </c>
      <c r="C97" s="111">
        <v>8446.030260270001</v>
      </c>
      <c r="D97" s="111">
        <v>8494.18283562</v>
      </c>
      <c r="E97" s="111">
        <v>48.1525753499991</v>
      </c>
      <c r="F97" s="114">
        <v>0.570120800732956</v>
      </c>
      <c r="G97" s="95"/>
      <c r="H97" s="95"/>
    </row>
    <row r="98" spans="2:9" ht="11.25">
      <c r="B98" s="31" t="s">
        <v>91</v>
      </c>
      <c r="C98" s="111">
        <v>10634.026303310002</v>
      </c>
      <c r="D98" s="111">
        <v>10803.946951950002</v>
      </c>
      <c r="E98" s="111">
        <v>169.92064863999985</v>
      </c>
      <c r="F98" s="114">
        <v>1.597895696262379</v>
      </c>
      <c r="G98" s="94"/>
      <c r="H98" s="94"/>
      <c r="I98" s="93"/>
    </row>
    <row r="99" spans="2:8" ht="11.25">
      <c r="B99" s="31"/>
      <c r="C99" s="17"/>
      <c r="D99" s="17"/>
      <c r="E99" s="53"/>
      <c r="F99" s="71"/>
      <c r="G99" s="95"/>
      <c r="H99" s="95"/>
    </row>
    <row r="100" spans="2:6" ht="12" hidden="1" thickBot="1">
      <c r="B100" s="55" t="s">
        <v>92</v>
      </c>
      <c r="C100" s="56">
        <f>C81-C93</f>
        <v>-0.018616640005348017</v>
      </c>
      <c r="D100" s="56">
        <f>D81-D93</f>
        <v>-0.004419219996634638</v>
      </c>
      <c r="E100" s="56">
        <f>E81-E93</f>
        <v>0.01419742000871338</v>
      </c>
      <c r="F100" s="56">
        <v>-2.10160347235977E-06</v>
      </c>
    </row>
    <row r="101" spans="2:6" ht="11.25">
      <c r="B101" s="41"/>
      <c r="C101" s="41"/>
      <c r="D101" s="41"/>
      <c r="E101" s="41"/>
      <c r="F101" s="41"/>
    </row>
  </sheetData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2006-09-13T09:22:24Z</cp:lastPrinted>
  <dcterms:created xsi:type="dcterms:W3CDTF">1999-07-02T10:21:54Z</dcterms:created>
  <dcterms:modified xsi:type="dcterms:W3CDTF">2006-09-13T09:23:42Z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