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2385" windowWidth="9585" windowHeight="5730" tabRatio="616" activeTab="3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'S2'!$A$1:$L$48</definedName>
    <definedName name="_xlnm.Print_Area" localSheetId="3">'S3'!$A$1:$C$82</definedName>
    <definedName name="_xlnm.Print_Area" localSheetId="4">'S4'!$A$1:$K$77</definedName>
    <definedName name="_xlnm.Print_Area" localSheetId="5">'S5'!$B$2:$Q$20</definedName>
    <definedName name="_xlnm.Print_Area" localSheetId="6">'S6'!$A$1:$O$74</definedName>
    <definedName name="_xlnm.Print_Area" localSheetId="7">'S7'!$B$77:$I$101</definedName>
    <definedName name="Z_1119964D_FB32_11D4_9C51_0090277BCB1A_.wvu.Cols" localSheetId="5" hidden="1">'S5'!$B:$B</definedName>
    <definedName name="Z_1119964D_FB32_11D4_9C51_0090277BCB1A_.wvu.PrintArea" localSheetId="2" hidden="1">'S2'!$A$1:$L$49</definedName>
    <definedName name="Z_1119964D_FB32_11D4_9C51_0090277BCB1A_.wvu.PrintArea" localSheetId="3" hidden="1">'S3'!$A$2:$A$82</definedName>
    <definedName name="Z_1119964D_FB32_11D4_9C51_0090277BCB1A_.wvu.PrintArea" localSheetId="4" hidden="1">'S4'!$A$1:$K$77</definedName>
    <definedName name="Z_1119964D_FB32_11D4_9C51_0090277BCB1A_.wvu.PrintArea" localSheetId="5" hidden="1">'S5'!$B$2:$B$20</definedName>
    <definedName name="Z_1119964D_FB32_11D4_9C51_0090277BCB1A_.wvu.PrintArea" localSheetId="6" hidden="1">'S6'!$A$1:$J$63</definedName>
    <definedName name="Z_4BE07961_847F_11D4_A83A_00D0B7747A8F_.wvu.PrintArea" localSheetId="2" hidden="1">'S2'!$A$1:$L$49</definedName>
    <definedName name="Z_4BE07961_847F_11D4_A83A_00D0B7747A8F_.wvu.PrintArea" localSheetId="3" hidden="1">'S3'!$A$2:$A$82</definedName>
    <definedName name="Z_4BE07961_847F_11D4_A83A_00D0B7747A8F_.wvu.PrintArea" localSheetId="4" hidden="1">'S4'!$A$1:$K$77</definedName>
    <definedName name="Z_4BE07961_847F_11D4_A83A_00D0B7747A8F_.wvu.PrintArea" localSheetId="6" hidden="1">'S6'!$A$1:$J$63</definedName>
    <definedName name="Z_5050E6E2_8401_11D4_81A4_00608C91AED9_.wvu.Cols" localSheetId="5" hidden="1">'S5'!$B:$B</definedName>
    <definedName name="Z_5050E6E2_8401_11D4_81A4_00608C91AED9_.wvu.PrintArea" localSheetId="2" hidden="1">'S2'!$A$1:$L$49</definedName>
    <definedName name="Z_5050E6E2_8401_11D4_81A4_00608C91AED9_.wvu.PrintArea" localSheetId="3" hidden="1">'S3'!$A$2:$A$82</definedName>
    <definedName name="Z_5050E6E2_8401_11D4_81A4_00608C91AED9_.wvu.PrintArea" localSheetId="4" hidden="1">'S4'!$A$1:$K$77</definedName>
    <definedName name="Z_5050E6E2_8401_11D4_81A4_00608C91AED9_.wvu.PrintArea" localSheetId="5" hidden="1">'S5'!$B$2:$B$21</definedName>
    <definedName name="Z_5050E6E2_8401_11D4_81A4_00608C91AED9_.wvu.PrintArea" localSheetId="6" hidden="1">'S6'!$A$1:$I$63</definedName>
  </definedNames>
  <calcPr fullCalcOnLoad="1"/>
</workbook>
</file>

<file path=xl/sharedStrings.xml><?xml version="1.0" encoding="utf-8"?>
<sst xmlns="http://schemas.openxmlformats.org/spreadsheetml/2006/main" count="250" uniqueCount="171">
  <si>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</si>
  <si>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</si>
  <si>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</si>
  <si>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</si>
  <si>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</si>
  <si>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</si>
  <si>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</si>
  <si>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</si>
  <si>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</si>
  <si>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</si>
  <si>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</si>
  <si>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</si>
  <si>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</si>
  <si>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</si>
  <si>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</si>
  <si>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</si>
  <si>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</si>
  <si>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</si>
  <si>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</si>
  <si>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</si>
  <si>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</si>
  <si>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</si>
  <si>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</si>
  <si>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</si>
  <si>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</si>
  <si>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</si>
  <si>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</si>
  <si>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</si>
  <si>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</si>
  <si>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</si>
  <si>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</si>
  <si>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</si>
  <si>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</si>
  <si>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</si>
  <si>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</si>
  <si>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</si>
  <si>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</si>
  <si>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</si>
  <si>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</si>
  <si>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</si>
  <si>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</si>
  <si>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</si>
  <si>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</si>
  <si>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</si>
  <si>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</si>
  <si>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</si>
  <si>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</si>
  <si>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</si>
  <si>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</si>
  <si>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</si>
  <si>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</si>
  <si>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</si>
  <si>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</si>
  <si>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</si>
  <si>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</si>
  <si>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</si>
  <si>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</si>
  <si>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</si>
  <si>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</si>
  <si>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</si>
  <si>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</si>
  <si>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</si>
  <si>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</si>
  <si>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</si>
  <si>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</si>
  <si>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</si>
  <si>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</si>
  <si>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</si>
  <si>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</si>
  <si>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</si>
  <si>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</si>
  <si>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</si>
  <si>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</si>
  <si>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</si>
  <si>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</si>
  <si>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</si>
  <si>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</si>
  <si>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</si>
  <si>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</si>
  <si>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</si>
  <si>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</si>
  <si>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Transferable Deposits</t>
  </si>
  <si>
    <t>Other Deposits</t>
  </si>
  <si>
    <t>Other Liabilities</t>
  </si>
  <si>
    <t>Check</t>
  </si>
  <si>
    <t>Other resident sectors/Individuals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</si>
  <si>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</si>
  <si>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</si>
  <si>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</si>
  <si>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</si>
  <si>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</si>
  <si>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</si>
  <si>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</si>
  <si>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</si>
  <si>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</si>
  <si>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</si>
  <si>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</si>
  <si>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</si>
  <si>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</si>
  <si>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</si>
  <si>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</si>
  <si>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</si>
  <si>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Primary auction</t>
  </si>
  <si>
    <t xml:space="preserve">         Foreign exchange reserves (NAD millions)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</si>
  <si>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</si>
  <si>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</si>
  <si>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</si>
  <si>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</si>
  <si>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</si>
  <si>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</si>
  <si>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</si>
  <si>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</si>
  <si>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</si>
  <si>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</si>
  <si>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</si>
  <si>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</si>
  <si>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</si>
  <si>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</si>
  <si>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</si>
  <si>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</si>
  <si>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</si>
  <si>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</si>
  <si>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</si>
  <si>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</si>
  <si>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</si>
  <si>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</si>
  <si>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</si>
  <si>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</si>
  <si>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</si>
  <si>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</si>
  <si>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</si>
  <si>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</si>
  <si>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 xml:space="preserve">       International Reserves** and Exchange rates</t>
  </si>
  <si>
    <t>**International Reserves of the Bank of Namibia</t>
  </si>
  <si>
    <t xml:space="preserve">   Source: NSX</t>
  </si>
  <si>
    <t xml:space="preserve">   Source: BON</t>
  </si>
  <si>
    <t>Source: CBS &amp; STATSSA</t>
  </si>
  <si>
    <t>Securities other than shares (included in Broad Money)</t>
  </si>
  <si>
    <t>Currency Outside Depository Corporations</t>
  </si>
  <si>
    <t xml:space="preserve">Deposits excluded from M2 </t>
  </si>
  <si>
    <t>*  The consumer price inflation is based on the NCPI (nation wide CPI)</t>
  </si>
  <si>
    <t xml:space="preserve">                           U.S Dollar/Namibia Dollar exchange rate</t>
  </si>
  <si>
    <t xml:space="preserve">  Selected interest rates</t>
  </si>
  <si>
    <t xml:space="preserve">                  NSX indices</t>
  </si>
  <si>
    <t>Namibia's inflation vs South Africa's CPIX</t>
  </si>
  <si>
    <t xml:space="preserve">                          Foreign exchange reserves</t>
  </si>
  <si>
    <t xml:space="preserve">    Money Supply (month-on-month  percentage changes)</t>
  </si>
  <si>
    <t xml:space="preserve">Change over </t>
  </si>
  <si>
    <t>Change in N$ mill</t>
  </si>
  <si>
    <t xml:space="preserve">   **International reserves</t>
  </si>
  <si>
    <t xml:space="preserve">Percentage Change </t>
  </si>
  <si>
    <t>One year</t>
  </si>
  <si>
    <t xml:space="preserve">  Percentage Change</t>
  </si>
  <si>
    <t>One month</t>
  </si>
  <si>
    <t>** Average lending rate includes both interbank and intragroup rates</t>
  </si>
  <si>
    <t>Domestic claims and other sectors claims (month-on-month percentage changes)</t>
  </si>
  <si>
    <t xml:space="preserve"> Other Sectors Claims = Private Sector Credit</t>
  </si>
  <si>
    <t xml:space="preserve">   Other Assets</t>
  </si>
  <si>
    <t>Central Bank (N$ million)</t>
  </si>
  <si>
    <t>Other Depository Corporations (N$ million)</t>
  </si>
  <si>
    <t>Depository Corporations Survey (N$ million)</t>
  </si>
  <si>
    <t>Claims on the *Other Sectors  by the Other Depository Corporations (N$ million)</t>
  </si>
  <si>
    <t>Components of Money Supply (N$ million)</t>
  </si>
  <si>
    <t>Determinants of Money Supply (N$ million)</t>
  </si>
  <si>
    <t>Claims on Other Sectors</t>
  </si>
  <si>
    <t>Claims on non residents</t>
  </si>
  <si>
    <t>Securities other than shares included in M2</t>
  </si>
  <si>
    <t>Securities other than shares excluded from M2</t>
  </si>
  <si>
    <t xml:space="preserve"> </t>
  </si>
  <si>
    <t>n/a</t>
  </si>
  <si>
    <t>n/a stands for not available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</si>
</sst>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100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sz val="8"/>
      <color indexed="16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b/>
      <sz val="8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sz val="17.5"/>
      <color indexed="8"/>
      <name val="Arial"/>
      <family val="0"/>
    </font>
    <font>
      <sz val="12"/>
      <color indexed="16"/>
      <name val="Arial"/>
      <family val="0"/>
    </font>
    <font>
      <sz val="18.75"/>
      <color indexed="8"/>
      <name val="Arial"/>
      <family val="0"/>
    </font>
    <font>
      <sz val="8"/>
      <color indexed="8"/>
      <name val="Arial"/>
      <family val="0"/>
    </font>
    <font>
      <sz val="14"/>
      <color indexed="16"/>
      <name val="Arial"/>
      <family val="0"/>
    </font>
    <font>
      <sz val="12"/>
      <color indexed="25"/>
      <name val="Arial"/>
      <family val="0"/>
    </font>
    <font>
      <sz val="11"/>
      <color indexed="8"/>
      <name val="Arial"/>
      <family val="0"/>
    </font>
    <font>
      <sz val="8"/>
      <color indexed="25"/>
      <name val="Arial"/>
      <family val="0"/>
    </font>
    <font>
      <sz val="15.5"/>
      <color indexed="8"/>
      <name val="Arial"/>
      <family val="0"/>
    </font>
    <font>
      <sz val="11"/>
      <color indexed="16"/>
      <name val="Arial"/>
      <family val="0"/>
    </font>
    <font>
      <sz val="16"/>
      <color indexed="16"/>
      <name val="Arial"/>
      <family val="0"/>
    </font>
    <font>
      <sz val="13"/>
      <color indexed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16"/>
      <name val="Arial"/>
      <family val="0"/>
    </font>
    <font>
      <sz val="16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185" fontId="4" fillId="35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85" fontId="4" fillId="35" borderId="17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85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85" fontId="26" fillId="35" borderId="18" xfId="0" applyNumberFormat="1" applyFont="1" applyFill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95" fontId="10" fillId="35" borderId="20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78" fontId="9" fillId="35" borderId="15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4" fontId="9" fillId="35" borderId="15" xfId="0" applyNumberFormat="1" applyFont="1" applyFill="1" applyBorder="1" applyAlignment="1">
      <alignment/>
    </xf>
    <xf numFmtId="4" fontId="9" fillId="35" borderId="15" xfId="0" applyNumberFormat="1" applyFont="1" applyFill="1" applyBorder="1" applyAlignment="1">
      <alignment horizontal="right"/>
    </xf>
    <xf numFmtId="2" fontId="9" fillId="35" borderId="15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78" fontId="9" fillId="35" borderId="21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85" fontId="26" fillId="35" borderId="0" xfId="64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2" xfId="0" applyFont="1" applyFill="1" applyBorder="1" applyAlignment="1">
      <alignment/>
    </xf>
    <xf numFmtId="0" fontId="36" fillId="35" borderId="22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85" fontId="38" fillId="35" borderId="15" xfId="0" applyNumberFormat="1" applyFont="1" applyFill="1" applyBorder="1" applyAlignment="1">
      <alignment horizontal="center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right"/>
    </xf>
    <xf numFmtId="178" fontId="38" fillId="35" borderId="22" xfId="0" applyNumberFormat="1" applyFont="1" applyFill="1" applyBorder="1" applyAlignment="1">
      <alignment/>
    </xf>
    <xf numFmtId="178" fontId="38" fillId="35" borderId="22" xfId="0" applyNumberFormat="1" applyFont="1" applyFill="1" applyBorder="1" applyAlignment="1">
      <alignment horizontal="right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center"/>
    </xf>
    <xf numFmtId="178" fontId="38" fillId="35" borderId="22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2" fontId="38" fillId="35" borderId="15" xfId="0" applyNumberFormat="1" applyFont="1" applyFill="1" applyBorder="1" applyAlignment="1">
      <alignment/>
    </xf>
    <xf numFmtId="182" fontId="38" fillId="35" borderId="15" xfId="0" applyNumberFormat="1" applyFont="1" applyFill="1" applyBorder="1" applyAlignment="1">
      <alignment horizontal="center"/>
    </xf>
    <xf numFmtId="182" fontId="38" fillId="35" borderId="15" xfId="0" applyNumberFormat="1" applyFont="1" applyFill="1" applyBorder="1" applyAlignment="1">
      <alignment horizontal="right"/>
    </xf>
    <xf numFmtId="182" fontId="38" fillId="35" borderId="22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1" xfId="0" applyFont="1" applyFill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8" fillId="34" borderId="21" xfId="0" applyFont="1" applyFill="1" applyBorder="1" applyAlignment="1">
      <alignment/>
    </xf>
    <xf numFmtId="0" fontId="36" fillId="0" borderId="21" xfId="0" applyFont="1" applyBorder="1" applyAlignment="1">
      <alignment/>
    </xf>
    <xf numFmtId="0" fontId="36" fillId="0" borderId="23" xfId="0" applyFont="1" applyBorder="1" applyAlignment="1">
      <alignment/>
    </xf>
    <xf numFmtId="0" fontId="36" fillId="34" borderId="23" xfId="0" applyFont="1" applyFill="1" applyBorder="1" applyAlignment="1">
      <alignment/>
    </xf>
    <xf numFmtId="2" fontId="36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202" fontId="4" fillId="35" borderId="0" xfId="42" applyNumberFormat="1" applyFont="1" applyFill="1" applyBorder="1" applyAlignment="1">
      <alignment horizontal="right"/>
    </xf>
    <xf numFmtId="202" fontId="4" fillId="36" borderId="0" xfId="42" applyNumberFormat="1" applyFont="1" applyFill="1" applyBorder="1" applyAlignment="1">
      <alignment horizontal="right"/>
    </xf>
    <xf numFmtId="0" fontId="26" fillId="35" borderId="24" xfId="64" applyFont="1" applyFill="1" applyBorder="1">
      <alignment/>
      <protection/>
    </xf>
    <xf numFmtId="0" fontId="43" fillId="0" borderId="0" xfId="0" applyFont="1" applyAlignment="1">
      <alignment/>
    </xf>
    <xf numFmtId="0" fontId="13" fillId="33" borderId="13" xfId="0" applyFont="1" applyFill="1" applyBorder="1" applyAlignment="1">
      <alignment horizontal="right"/>
    </xf>
    <xf numFmtId="185" fontId="4" fillId="0" borderId="25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85" fontId="26" fillId="35" borderId="0" xfId="0" applyNumberFormat="1" applyFont="1" applyFill="1" applyBorder="1" applyAlignment="1">
      <alignment horizontal="right"/>
    </xf>
    <xf numFmtId="185" fontId="4" fillId="35" borderId="0" xfId="0" applyNumberFormat="1" applyFont="1" applyFill="1" applyBorder="1" applyAlignment="1">
      <alignment horizontal="right"/>
    </xf>
    <xf numFmtId="185" fontId="26" fillId="35" borderId="18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/>
    </xf>
    <xf numFmtId="185" fontId="4" fillId="36" borderId="18" xfId="0" applyNumberFormat="1" applyFont="1" applyFill="1" applyBorder="1" applyAlignment="1">
      <alignment/>
    </xf>
    <xf numFmtId="185" fontId="26" fillId="35" borderId="2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8" fontId="9" fillId="35" borderId="15" xfId="0" applyNumberFormat="1" applyFont="1" applyFill="1" applyBorder="1" applyAlignment="1">
      <alignment horizontal="right"/>
    </xf>
    <xf numFmtId="185" fontId="9" fillId="35" borderId="21" xfId="0" applyNumberFormat="1" applyFont="1" applyFill="1" applyBorder="1" applyAlignment="1">
      <alignment/>
    </xf>
    <xf numFmtId="185" fontId="9" fillId="35" borderId="16" xfId="0" applyNumberFormat="1" applyFont="1" applyFill="1" applyBorder="1" applyAlignment="1">
      <alignment/>
    </xf>
    <xf numFmtId="2" fontId="9" fillId="35" borderId="21" xfId="0" applyNumberFormat="1" applyFont="1" applyFill="1" applyBorder="1" applyAlignment="1">
      <alignment/>
    </xf>
    <xf numFmtId="17" fontId="13" fillId="33" borderId="24" xfId="0" applyNumberFormat="1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85" fontId="26" fillId="35" borderId="22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185" fontId="4" fillId="35" borderId="22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85" fontId="26" fillId="35" borderId="23" xfId="0" applyNumberFormat="1" applyFont="1" applyFill="1" applyBorder="1" applyAlignment="1">
      <alignment/>
    </xf>
    <xf numFmtId="0" fontId="15" fillId="35" borderId="31" xfId="0" applyFont="1" applyFill="1" applyBorder="1" applyAlignment="1">
      <alignment/>
    </xf>
    <xf numFmtId="185" fontId="15" fillId="35" borderId="30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185" fontId="4" fillId="35" borderId="18" xfId="0" applyNumberFormat="1" applyFont="1" applyFill="1" applyBorder="1" applyAlignment="1">
      <alignment/>
    </xf>
    <xf numFmtId="185" fontId="4" fillId="35" borderId="23" xfId="0" applyNumberFormat="1" applyFont="1" applyFill="1" applyBorder="1" applyAlignment="1">
      <alignment/>
    </xf>
    <xf numFmtId="0" fontId="4" fillId="36" borderId="31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185" fontId="26" fillId="36" borderId="22" xfId="0" applyNumberFormat="1" applyFont="1" applyFill="1" applyBorder="1" applyAlignment="1">
      <alignment/>
    </xf>
    <xf numFmtId="0" fontId="27" fillId="37" borderId="11" xfId="0" applyFont="1" applyFill="1" applyBorder="1" applyAlignment="1">
      <alignment horizontal="left" indent="2"/>
    </xf>
    <xf numFmtId="185" fontId="4" fillId="36" borderId="22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85" fontId="4" fillId="36" borderId="23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2" fontId="4" fillId="35" borderId="0" xfId="42" applyNumberFormat="1" applyFont="1" applyFill="1" applyBorder="1" applyAlignment="1">
      <alignment horizontal="right"/>
    </xf>
    <xf numFmtId="17" fontId="39" fillId="33" borderId="15" xfId="0" applyNumberFormat="1" applyFont="1" applyFill="1" applyBorder="1" applyAlignment="1">
      <alignment horizontal="center"/>
    </xf>
    <xf numFmtId="17" fontId="39" fillId="33" borderId="22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202" fontId="4" fillId="35" borderId="0" xfId="42" applyNumberFormat="1" applyFont="1" applyFill="1" applyBorder="1" applyAlignment="1">
      <alignment/>
    </xf>
    <xf numFmtId="202" fontId="4" fillId="36" borderId="0" xfId="42" applyNumberFormat="1" applyFont="1" applyFill="1" applyBorder="1" applyAlignment="1">
      <alignment/>
    </xf>
    <xf numFmtId="178" fontId="4" fillId="35" borderId="18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26" fillId="35" borderId="11" xfId="64" applyFont="1" applyFill="1" applyBorder="1">
      <alignment/>
      <protection/>
    </xf>
    <xf numFmtId="178" fontId="26" fillId="35" borderId="22" xfId="0" applyNumberFormat="1" applyFont="1" applyFill="1" applyBorder="1" applyAlignment="1">
      <alignment/>
    </xf>
    <xf numFmtId="0" fontId="27" fillId="35" borderId="11" xfId="64" applyFont="1" applyFill="1" applyBorder="1" applyAlignment="1">
      <alignment horizontal="left" indent="1"/>
      <protection/>
    </xf>
    <xf numFmtId="178" fontId="4" fillId="35" borderId="22" xfId="0" applyNumberFormat="1" applyFont="1" applyFill="1" applyBorder="1" applyAlignment="1">
      <alignment/>
    </xf>
    <xf numFmtId="0" fontId="26" fillId="35" borderId="11" xfId="64" applyFont="1" applyFill="1" applyBorder="1" applyAlignment="1">
      <alignment horizontal="left"/>
      <protection/>
    </xf>
    <xf numFmtId="185" fontId="27" fillId="35" borderId="11" xfId="64" applyNumberFormat="1" applyFont="1" applyFill="1" applyBorder="1" applyAlignment="1">
      <alignment horizontal="left" indent="1"/>
      <protection/>
    </xf>
    <xf numFmtId="185" fontId="4" fillId="35" borderId="11" xfId="64" applyNumberFormat="1" applyFont="1" applyFill="1" applyBorder="1">
      <alignment/>
      <protection/>
    </xf>
    <xf numFmtId="185" fontId="26" fillId="35" borderId="12" xfId="64" applyNumberFormat="1" applyFont="1" applyFill="1" applyBorder="1">
      <alignment/>
      <protection/>
    </xf>
    <xf numFmtId="178" fontId="26" fillId="35" borderId="23" xfId="0" applyNumberFormat="1" applyFont="1" applyFill="1" applyBorder="1" applyAlignment="1">
      <alignment/>
    </xf>
    <xf numFmtId="185" fontId="26" fillId="35" borderId="11" xfId="0" applyNumberFormat="1" applyFont="1" applyFill="1" applyBorder="1" applyAlignment="1">
      <alignment/>
    </xf>
    <xf numFmtId="185" fontId="27" fillId="35" borderId="11" xfId="0" applyNumberFormat="1" applyFont="1" applyFill="1" applyBorder="1" applyAlignment="1">
      <alignment horizontal="left" indent="1"/>
    </xf>
    <xf numFmtId="185" fontId="27" fillId="35" borderId="11" xfId="0" applyNumberFormat="1" applyFont="1" applyFill="1" applyBorder="1" applyAlignment="1">
      <alignment horizontal="left"/>
    </xf>
    <xf numFmtId="185" fontId="26" fillId="35" borderId="11" xfId="0" applyNumberFormat="1" applyFont="1" applyFill="1" applyBorder="1" applyAlignment="1">
      <alignment horizontal="left" indent="2"/>
    </xf>
    <xf numFmtId="185" fontId="26" fillId="35" borderId="11" xfId="0" applyNumberFormat="1" applyFont="1" applyFill="1" applyBorder="1" applyAlignment="1">
      <alignment horizontal="left"/>
    </xf>
    <xf numFmtId="185" fontId="4" fillId="35" borderId="11" xfId="0" applyNumberFormat="1" applyFont="1" applyFill="1" applyBorder="1" applyAlignment="1">
      <alignment horizontal="left" indent="2"/>
    </xf>
    <xf numFmtId="185" fontId="4" fillId="35" borderId="11" xfId="0" applyNumberFormat="1" applyFont="1" applyFill="1" applyBorder="1" applyAlignment="1">
      <alignment/>
    </xf>
    <xf numFmtId="185" fontId="27" fillId="35" borderId="12" xfId="0" applyNumberFormat="1" applyFont="1" applyFill="1" applyBorder="1" applyAlignment="1">
      <alignment horizontal="left" indent="1"/>
    </xf>
    <xf numFmtId="185" fontId="26" fillId="35" borderId="18" xfId="64" applyNumberFormat="1" applyFont="1" applyFill="1" applyBorder="1">
      <alignment/>
      <protection/>
    </xf>
    <xf numFmtId="0" fontId="0" fillId="34" borderId="0" xfId="0" applyFill="1" applyBorder="1" applyAlignment="1">
      <alignment/>
    </xf>
    <xf numFmtId="0" fontId="4" fillId="35" borderId="12" xfId="0" applyFont="1" applyFill="1" applyBorder="1" applyAlignment="1">
      <alignment/>
    </xf>
    <xf numFmtId="0" fontId="15" fillId="0" borderId="33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178" fontId="4" fillId="35" borderId="0" xfId="42" applyNumberFormat="1" applyFont="1" applyFill="1" applyBorder="1" applyAlignment="1">
      <alignment horizontal="right"/>
    </xf>
    <xf numFmtId="46" fontId="13" fillId="33" borderId="34" xfId="0" applyNumberFormat="1" applyFont="1" applyFill="1" applyBorder="1" applyAlignment="1">
      <alignment horizontal="center"/>
    </xf>
    <xf numFmtId="46" fontId="13" fillId="33" borderId="35" xfId="0" applyNumberFormat="1" applyFont="1" applyFill="1" applyBorder="1" applyAlignment="1">
      <alignment horizontal="center"/>
    </xf>
    <xf numFmtId="46" fontId="13" fillId="33" borderId="36" xfId="0" applyNumberFormat="1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/>
    </xf>
    <xf numFmtId="0" fontId="20" fillId="33" borderId="38" xfId="0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33" borderId="34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13" fillId="33" borderId="43" xfId="0" applyFont="1" applyFill="1" applyBorder="1" applyAlignment="1">
      <alignment horizontal="center"/>
    </xf>
    <xf numFmtId="0" fontId="13" fillId="33" borderId="44" xfId="0" applyFont="1" applyFill="1" applyBorder="1" applyAlignment="1">
      <alignment horizontal="center"/>
    </xf>
    <xf numFmtId="0" fontId="13" fillId="33" borderId="45" xfId="0" applyFont="1" applyFill="1" applyBorder="1" applyAlignment="1">
      <alignment horizontal="center"/>
    </xf>
    <xf numFmtId="0" fontId="13" fillId="33" borderId="46" xfId="0" applyFont="1" applyFill="1" applyBorder="1" applyAlignment="1">
      <alignment horizontal="center"/>
    </xf>
    <xf numFmtId="0" fontId="20" fillId="33" borderId="47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20" fillId="33" borderId="48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46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275"/>
          <c:w val="0.966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Chart'!$AT$7:$BF$7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39172</c:v>
                </c:pt>
                <c:pt idx="7">
                  <c:v>39202</c:v>
                </c:pt>
                <c:pt idx="8">
                  <c:v>39233</c:v>
                </c:pt>
                <c:pt idx="9">
                  <c:v>39263</c:v>
                </c:pt>
                <c:pt idx="10">
                  <c:v>39294</c:v>
                </c:pt>
                <c:pt idx="11">
                  <c:v>39325</c:v>
                </c:pt>
                <c:pt idx="12">
                  <c:v>39355</c:v>
                </c:pt>
              </c:numCache>
            </c:numRef>
          </c:cat>
          <c:val>
            <c:numRef>
              <c:f>'[2]M1 M2 Chart'!$AT$8:$BF$8</c:f>
              <c:numCache>
                <c:ptCount val="13"/>
                <c:pt idx="0">
                  <c:v>4.277929218815961</c:v>
                </c:pt>
                <c:pt idx="1">
                  <c:v>3.375699863912038</c:v>
                </c:pt>
                <c:pt idx="2">
                  <c:v>1.7061921582027462</c:v>
                </c:pt>
                <c:pt idx="3">
                  <c:v>-0.34170916060395856</c:v>
                </c:pt>
                <c:pt idx="4">
                  <c:v>3.1247813249456087</c:v>
                </c:pt>
                <c:pt idx="5">
                  <c:v>-0.8175012350289527</c:v>
                </c:pt>
                <c:pt idx="6">
                  <c:v>-2.0163592435092164</c:v>
                </c:pt>
                <c:pt idx="7">
                  <c:v>2.124264004786151</c:v>
                </c:pt>
                <c:pt idx="8">
                  <c:v>1.8639134323938458</c:v>
                </c:pt>
                <c:pt idx="9">
                  <c:v>-4.265278640754327</c:v>
                </c:pt>
                <c:pt idx="10">
                  <c:v>10.478186527242048</c:v>
                </c:pt>
                <c:pt idx="11">
                  <c:v>0.3334290290081349</c:v>
                </c:pt>
                <c:pt idx="12">
                  <c:v>3.06292270218074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Chart'!$AT$7:$BF$7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39172</c:v>
                </c:pt>
                <c:pt idx="7">
                  <c:v>39202</c:v>
                </c:pt>
                <c:pt idx="8">
                  <c:v>39233</c:v>
                </c:pt>
                <c:pt idx="9">
                  <c:v>39263</c:v>
                </c:pt>
                <c:pt idx="10">
                  <c:v>39294</c:v>
                </c:pt>
                <c:pt idx="11">
                  <c:v>39325</c:v>
                </c:pt>
                <c:pt idx="12">
                  <c:v>39355</c:v>
                </c:pt>
              </c:numCache>
            </c:numRef>
          </c:cat>
          <c:val>
            <c:numRef>
              <c:f>'[2]M1 M2 Chart'!$AT$9:$BF$9</c:f>
              <c:numCache>
                <c:ptCount val="13"/>
                <c:pt idx="0">
                  <c:v>4.381616536762638</c:v>
                </c:pt>
                <c:pt idx="1">
                  <c:v>11.541825685977763</c:v>
                </c:pt>
                <c:pt idx="2">
                  <c:v>-0.570174384078555</c:v>
                </c:pt>
                <c:pt idx="3">
                  <c:v>-3.8684085489309523</c:v>
                </c:pt>
                <c:pt idx="4">
                  <c:v>6.0581762262908185</c:v>
                </c:pt>
                <c:pt idx="5">
                  <c:v>0.8055996711286546</c:v>
                </c:pt>
                <c:pt idx="6">
                  <c:v>1.2216558177303205</c:v>
                </c:pt>
                <c:pt idx="7">
                  <c:v>0.2938067770753827</c:v>
                </c:pt>
                <c:pt idx="8">
                  <c:v>0.41015757279167386</c:v>
                </c:pt>
                <c:pt idx="9">
                  <c:v>-10.514576369690575</c:v>
                </c:pt>
                <c:pt idx="10">
                  <c:v>17.23661372104195</c:v>
                </c:pt>
                <c:pt idx="11">
                  <c:v>1.5324787126917128</c:v>
                </c:pt>
                <c:pt idx="12">
                  <c:v>-4.208677112895326</c:v>
                </c:pt>
              </c:numCache>
            </c:numRef>
          </c:val>
          <c:smooth val="0"/>
        </c:ser>
        <c:marker val="1"/>
        <c:axId val="34029475"/>
        <c:axId val="37829820"/>
      </c:lineChart>
      <c:catAx>
        <c:axId val="3402947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300" b="0" i="0" u="none" baseline="0">
                <a:solidFill>
                  <a:srgbClr val="800000"/>
                </a:solidFill>
              </a:defRPr>
            </a:pPr>
          </a:p>
        </c:txPr>
        <c:crossAx val="37829820"/>
        <c:crosses val="autoZero"/>
        <c:auto val="1"/>
        <c:lblOffset val="100"/>
        <c:tickLblSkip val="1"/>
        <c:noMultiLvlLbl val="0"/>
      </c:catAx>
      <c:valAx>
        <c:axId val="3782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34029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5"/>
          <c:y val="0.9265"/>
          <c:w val="0.5747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0425"/>
          <c:w val="0.96075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chart'!$AS$10:$BE$10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39172</c:v>
                </c:pt>
                <c:pt idx="7">
                  <c:v>39202</c:v>
                </c:pt>
                <c:pt idx="8">
                  <c:v>39233</c:v>
                </c:pt>
                <c:pt idx="9">
                  <c:v>39263</c:v>
                </c:pt>
                <c:pt idx="10">
                  <c:v>39294</c:v>
                </c:pt>
                <c:pt idx="11">
                  <c:v>39325</c:v>
                </c:pt>
                <c:pt idx="12">
                  <c:v>39355</c:v>
                </c:pt>
              </c:numCache>
            </c:numRef>
          </c:cat>
          <c:val>
            <c:numRef>
              <c:f>'[2] PSC chart'!$AS$11:$BE$11</c:f>
              <c:numCache>
                <c:ptCount val="13"/>
                <c:pt idx="0">
                  <c:v>0.20969565247536456</c:v>
                </c:pt>
                <c:pt idx="1">
                  <c:v>-1.5314771320431253</c:v>
                </c:pt>
                <c:pt idx="2">
                  <c:v>2.9984069201778913</c:v>
                </c:pt>
                <c:pt idx="3">
                  <c:v>0.2131848422549674</c:v>
                </c:pt>
                <c:pt idx="4">
                  <c:v>-6.01361231956756</c:v>
                </c:pt>
                <c:pt idx="5">
                  <c:v>3.468989134525586</c:v>
                </c:pt>
                <c:pt idx="6">
                  <c:v>-1.1060404066356289</c:v>
                </c:pt>
                <c:pt idx="7">
                  <c:v>-2.5080256273845984</c:v>
                </c:pt>
                <c:pt idx="8">
                  <c:v>3.6996475995276263</c:v>
                </c:pt>
                <c:pt idx="9">
                  <c:v>0.6628882707765882</c:v>
                </c:pt>
                <c:pt idx="10">
                  <c:v>1.3635344568103014</c:v>
                </c:pt>
                <c:pt idx="11">
                  <c:v>4.022601386657635</c:v>
                </c:pt>
                <c:pt idx="12">
                  <c:v>3.3917655819846364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chart'!$AS$10:$BE$10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39172</c:v>
                </c:pt>
                <c:pt idx="7">
                  <c:v>39202</c:v>
                </c:pt>
                <c:pt idx="8">
                  <c:v>39233</c:v>
                </c:pt>
                <c:pt idx="9">
                  <c:v>39263</c:v>
                </c:pt>
                <c:pt idx="10">
                  <c:v>39294</c:v>
                </c:pt>
                <c:pt idx="11">
                  <c:v>39325</c:v>
                </c:pt>
                <c:pt idx="12">
                  <c:v>39355</c:v>
                </c:pt>
              </c:numCache>
            </c:numRef>
          </c:cat>
          <c:val>
            <c:numRef>
              <c:f>'[2] PSC chart'!$AS$12:$BE$12</c:f>
              <c:numCache>
                <c:ptCount val="13"/>
                <c:pt idx="0">
                  <c:v>0.057520487008683195</c:v>
                </c:pt>
                <c:pt idx="1">
                  <c:v>1.4821953880777343</c:v>
                </c:pt>
                <c:pt idx="2">
                  <c:v>0.15550027153967988</c:v>
                </c:pt>
                <c:pt idx="3">
                  <c:v>0.6583832117324644</c:v>
                </c:pt>
                <c:pt idx="4">
                  <c:v>2.5491633077906704</c:v>
                </c:pt>
                <c:pt idx="5">
                  <c:v>1.43400578490035</c:v>
                </c:pt>
                <c:pt idx="6">
                  <c:v>0.775029504938087</c:v>
                </c:pt>
                <c:pt idx="7">
                  <c:v>0.4128579839358425</c:v>
                </c:pt>
                <c:pt idx="8">
                  <c:v>0.13441753430499181</c:v>
                </c:pt>
                <c:pt idx="9">
                  <c:v>1.6600517682014835</c:v>
                </c:pt>
                <c:pt idx="10">
                  <c:v>0.4982491808369909</c:v>
                </c:pt>
                <c:pt idx="11">
                  <c:v>0.6463034678748828</c:v>
                </c:pt>
                <c:pt idx="12">
                  <c:v>0.7472609684208106</c:v>
                </c:pt>
              </c:numCache>
            </c:numRef>
          </c:val>
          <c:smooth val="0"/>
        </c:ser>
        <c:marker val="1"/>
        <c:axId val="4924061"/>
        <c:axId val="44316550"/>
      </c:lineChart>
      <c:catAx>
        <c:axId val="492406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44316550"/>
        <c:crosses val="autoZero"/>
        <c:auto val="1"/>
        <c:lblOffset val="100"/>
        <c:tickLblSkip val="1"/>
        <c:noMultiLvlLbl val="0"/>
      </c:catAx>
      <c:valAx>
        <c:axId val="44316550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4924061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75"/>
          <c:y val="0.92375"/>
          <c:w val="0.622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775"/>
          <c:w val="0.96025"/>
          <c:h val="0.877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indices'!$B$131:$B$143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39172</c:v>
                </c:pt>
                <c:pt idx="7">
                  <c:v>39202</c:v>
                </c:pt>
                <c:pt idx="8">
                  <c:v>39233</c:v>
                </c:pt>
                <c:pt idx="9">
                  <c:v>39263</c:v>
                </c:pt>
                <c:pt idx="10">
                  <c:v>39294</c:v>
                </c:pt>
                <c:pt idx="11">
                  <c:v>39325</c:v>
                </c:pt>
                <c:pt idx="12">
                  <c:v>39355</c:v>
                </c:pt>
              </c:numCache>
            </c:numRef>
          </c:cat>
          <c:val>
            <c:numRef>
              <c:f>'[5]Monthly indices'!$C$131:$C$143</c:f>
              <c:numCache>
                <c:ptCount val="13"/>
                <c:pt idx="0">
                  <c:v>754.36</c:v>
                </c:pt>
                <c:pt idx="1">
                  <c:v>790.35</c:v>
                </c:pt>
                <c:pt idx="2">
                  <c:v>792.6</c:v>
                </c:pt>
                <c:pt idx="3">
                  <c:v>828</c:v>
                </c:pt>
                <c:pt idx="4">
                  <c:v>838.25</c:v>
                </c:pt>
                <c:pt idx="5">
                  <c:v>852.78</c:v>
                </c:pt>
                <c:pt idx="6">
                  <c:v>911.26</c:v>
                </c:pt>
                <c:pt idx="7">
                  <c:v>935</c:v>
                </c:pt>
                <c:pt idx="8">
                  <c:v>977</c:v>
                </c:pt>
                <c:pt idx="9">
                  <c:v>936</c:v>
                </c:pt>
                <c:pt idx="10">
                  <c:v>936</c:v>
                </c:pt>
                <c:pt idx="11">
                  <c:v>927</c:v>
                </c:pt>
                <c:pt idx="12">
                  <c:v>972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63304631"/>
        <c:axId val="32870768"/>
      </c:lineChart>
      <c:lineChart>
        <c:grouping val="standard"/>
        <c:varyColors val="0"/>
        <c:ser>
          <c:idx val="1"/>
          <c:order val="1"/>
          <c:tx>
            <c:strRef>
              <c:f>'[5]Monthly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indices'!$B$131:$B$143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39172</c:v>
                </c:pt>
                <c:pt idx="7">
                  <c:v>39202</c:v>
                </c:pt>
                <c:pt idx="8">
                  <c:v>39233</c:v>
                </c:pt>
                <c:pt idx="9">
                  <c:v>39263</c:v>
                </c:pt>
                <c:pt idx="10">
                  <c:v>39294</c:v>
                </c:pt>
                <c:pt idx="11">
                  <c:v>39325</c:v>
                </c:pt>
                <c:pt idx="12">
                  <c:v>39355</c:v>
                </c:pt>
              </c:numCache>
            </c:numRef>
          </c:cat>
          <c:val>
            <c:numRef>
              <c:f>'[5]Monthly indices'!$D$131:$D$143</c:f>
              <c:numCache>
                <c:ptCount val="13"/>
                <c:pt idx="0">
                  <c:v>82.05</c:v>
                </c:pt>
                <c:pt idx="1">
                  <c:v>86.01</c:v>
                </c:pt>
                <c:pt idx="2">
                  <c:v>88.1</c:v>
                </c:pt>
                <c:pt idx="3">
                  <c:v>91</c:v>
                </c:pt>
                <c:pt idx="4">
                  <c:v>92.2</c:v>
                </c:pt>
                <c:pt idx="5">
                  <c:v>94.25</c:v>
                </c:pt>
                <c:pt idx="6">
                  <c:v>101.61</c:v>
                </c:pt>
                <c:pt idx="7">
                  <c:v>101.61</c:v>
                </c:pt>
                <c:pt idx="8">
                  <c:v>104</c:v>
                </c:pt>
                <c:pt idx="9">
                  <c:v>105</c:v>
                </c:pt>
                <c:pt idx="10">
                  <c:v>108</c:v>
                </c:pt>
                <c:pt idx="11">
                  <c:v>109</c:v>
                </c:pt>
                <c:pt idx="12">
                  <c:v>116</c:v>
                </c:pt>
              </c:numCache>
            </c:numRef>
          </c:val>
          <c:smooth val="0"/>
        </c:ser>
        <c:marker val="1"/>
        <c:axId val="27401457"/>
        <c:axId val="45286522"/>
      </c:lineChart>
      <c:catAx>
        <c:axId val="63304631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32870768"/>
        <c:crosses val="autoZero"/>
        <c:auto val="1"/>
        <c:lblOffset val="100"/>
        <c:tickLblSkip val="1"/>
        <c:noMultiLvlLbl val="0"/>
      </c:catAx>
      <c:valAx>
        <c:axId val="32870768"/>
        <c:scaling>
          <c:orientation val="minMax"/>
          <c:max val="1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04631"/>
        <c:crossesAt val="1"/>
        <c:crossBetween val="between"/>
        <c:dispUnits/>
        <c:majorUnit val="100"/>
        <c:minorUnit val="100"/>
      </c:valAx>
      <c:catAx>
        <c:axId val="27401457"/>
        <c:scaling>
          <c:orientation val="minMax"/>
        </c:scaling>
        <c:axPos val="b"/>
        <c:delete val="1"/>
        <c:majorTickMark val="out"/>
        <c:minorTickMark val="none"/>
        <c:tickLblPos val="nextTo"/>
        <c:crossAx val="45286522"/>
        <c:crosses val="autoZero"/>
        <c:auto val="1"/>
        <c:lblOffset val="100"/>
        <c:tickLblSkip val="1"/>
        <c:noMultiLvlLbl val="0"/>
      </c:catAx>
      <c:valAx>
        <c:axId val="45286522"/>
        <c:scaling>
          <c:orientation val="minMax"/>
          <c:max val="140"/>
          <c:min val="7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0145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6"/>
          <c:y val="0.9195"/>
          <c:w val="0.5642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2475"/>
          <c:w val="0.93"/>
          <c:h val="0.894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'[4]Data'!$D$197:$D$209</c:f>
              <c:numCache>
                <c:ptCount val="13"/>
                <c:pt idx="0">
                  <c:v>38962</c:v>
                </c:pt>
                <c:pt idx="1">
                  <c:v>38992</c:v>
                </c:pt>
                <c:pt idx="2">
                  <c:v>39023</c:v>
                </c:pt>
                <c:pt idx="3">
                  <c:v>39053</c:v>
                </c:pt>
                <c:pt idx="4">
                  <c:v>39084</c:v>
                </c:pt>
                <c:pt idx="5">
                  <c:v>39115</c:v>
                </c:pt>
                <c:pt idx="6">
                  <c:v>39143</c:v>
                </c:pt>
                <c:pt idx="7">
                  <c:v>39174</c:v>
                </c:pt>
                <c:pt idx="8">
                  <c:v>39204</c:v>
                </c:pt>
                <c:pt idx="9">
                  <c:v>39235</c:v>
                </c:pt>
                <c:pt idx="10">
                  <c:v>39265</c:v>
                </c:pt>
                <c:pt idx="11">
                  <c:v>39296</c:v>
                </c:pt>
                <c:pt idx="12">
                  <c:v>39327</c:v>
                </c:pt>
              </c:numCache>
            </c:numRef>
          </c:cat>
          <c:val>
            <c:numRef>
              <c:f>'[4]Data'!$F$197:$F$209</c:f>
              <c:numCache>
                <c:ptCount val="13"/>
                <c:pt idx="0">
                  <c:v>8</c:v>
                </c:pt>
                <c:pt idx="1">
                  <c:v>8.5</c:v>
                </c:pt>
                <c:pt idx="2">
                  <c:v>8.5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9.5</c:v>
                </c:pt>
                <c:pt idx="10">
                  <c:v>9.5</c:v>
                </c:pt>
                <c:pt idx="11">
                  <c:v>10</c:v>
                </c:pt>
                <c:pt idx="12">
                  <c:v>10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'[4]Data'!$K$5:$K$6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'[4]Data'!$D$197:$D$209</c:f>
              <c:numCache>
                <c:ptCount val="13"/>
                <c:pt idx="0">
                  <c:v>38962</c:v>
                </c:pt>
                <c:pt idx="1">
                  <c:v>38992</c:v>
                </c:pt>
                <c:pt idx="2">
                  <c:v>39023</c:v>
                </c:pt>
                <c:pt idx="3">
                  <c:v>39053</c:v>
                </c:pt>
                <c:pt idx="4">
                  <c:v>39084</c:v>
                </c:pt>
                <c:pt idx="5">
                  <c:v>39115</c:v>
                </c:pt>
                <c:pt idx="6">
                  <c:v>39143</c:v>
                </c:pt>
                <c:pt idx="7">
                  <c:v>39174</c:v>
                </c:pt>
                <c:pt idx="8">
                  <c:v>39204</c:v>
                </c:pt>
                <c:pt idx="9">
                  <c:v>39235</c:v>
                </c:pt>
                <c:pt idx="10">
                  <c:v>39265</c:v>
                </c:pt>
                <c:pt idx="11">
                  <c:v>39296</c:v>
                </c:pt>
                <c:pt idx="12">
                  <c:v>39327</c:v>
                </c:pt>
              </c:numCache>
            </c:numRef>
          </c:cat>
          <c:val>
            <c:numRef>
              <c:f>'[4]Data'!$K$197:$K$209</c:f>
              <c:numCache>
                <c:ptCount val="13"/>
                <c:pt idx="0">
                  <c:v>6.22</c:v>
                </c:pt>
                <c:pt idx="1">
                  <c:v>6.37</c:v>
                </c:pt>
                <c:pt idx="2">
                  <c:v>6.64</c:v>
                </c:pt>
                <c:pt idx="3">
                  <c:v>6.85</c:v>
                </c:pt>
                <c:pt idx="4">
                  <c:v>6.98</c:v>
                </c:pt>
                <c:pt idx="5">
                  <c:v>7.38</c:v>
                </c:pt>
                <c:pt idx="6">
                  <c:v>7.22</c:v>
                </c:pt>
                <c:pt idx="7">
                  <c:v>7.18</c:v>
                </c:pt>
                <c:pt idx="8">
                  <c:v>7.34</c:v>
                </c:pt>
                <c:pt idx="9">
                  <c:v>7.24</c:v>
                </c:pt>
                <c:pt idx="10">
                  <c:v>7.49</c:v>
                </c:pt>
                <c:pt idx="11">
                  <c:v>7.68</c:v>
                </c:pt>
                <c:pt idx="12">
                  <c:v>7.74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'[4]Data'!$D$197:$D$209</c:f>
              <c:numCache>
                <c:ptCount val="13"/>
                <c:pt idx="0">
                  <c:v>38962</c:v>
                </c:pt>
                <c:pt idx="1">
                  <c:v>38992</c:v>
                </c:pt>
                <c:pt idx="2">
                  <c:v>39023</c:v>
                </c:pt>
                <c:pt idx="3">
                  <c:v>39053</c:v>
                </c:pt>
                <c:pt idx="4">
                  <c:v>39084</c:v>
                </c:pt>
                <c:pt idx="5">
                  <c:v>39115</c:v>
                </c:pt>
                <c:pt idx="6">
                  <c:v>39143</c:v>
                </c:pt>
                <c:pt idx="7">
                  <c:v>39174</c:v>
                </c:pt>
                <c:pt idx="8">
                  <c:v>39204</c:v>
                </c:pt>
                <c:pt idx="9">
                  <c:v>39235</c:v>
                </c:pt>
                <c:pt idx="10">
                  <c:v>39265</c:v>
                </c:pt>
                <c:pt idx="11">
                  <c:v>39296</c:v>
                </c:pt>
                <c:pt idx="12">
                  <c:v>39327</c:v>
                </c:pt>
              </c:numCache>
            </c:numRef>
          </c:cat>
          <c:val>
            <c:numRef>
              <c:f>'[4]Data'!$L$197:$L$209</c:f>
              <c:numCache>
                <c:ptCount val="13"/>
                <c:pt idx="0">
                  <c:v>11.71</c:v>
                </c:pt>
                <c:pt idx="1">
                  <c:v>11.97</c:v>
                </c:pt>
                <c:pt idx="2">
                  <c:v>12.2</c:v>
                </c:pt>
                <c:pt idx="3">
                  <c:v>12.43</c:v>
                </c:pt>
                <c:pt idx="4">
                  <c:v>12.63</c:v>
                </c:pt>
                <c:pt idx="5">
                  <c:v>12.32</c:v>
                </c:pt>
                <c:pt idx="6">
                  <c:v>11.9</c:v>
                </c:pt>
                <c:pt idx="7">
                  <c:v>12.44</c:v>
                </c:pt>
                <c:pt idx="8">
                  <c:v>12.65</c:v>
                </c:pt>
                <c:pt idx="9">
                  <c:v>12.22</c:v>
                </c:pt>
                <c:pt idx="10">
                  <c:v>13.03</c:v>
                </c:pt>
                <c:pt idx="11">
                  <c:v>12.85</c:v>
                </c:pt>
                <c:pt idx="12">
                  <c:v>12.89</c:v>
                </c:pt>
              </c:numCache>
            </c:numRef>
          </c:val>
          <c:smooth val="0"/>
        </c:ser>
        <c:marker val="1"/>
        <c:axId val="4925515"/>
        <c:axId val="44329636"/>
      </c:lineChart>
      <c:catAx>
        <c:axId val="492551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44329636"/>
        <c:crossesAt val="0"/>
        <c:auto val="1"/>
        <c:lblOffset val="100"/>
        <c:tickLblSkip val="1"/>
        <c:noMultiLvlLbl val="0"/>
      </c:catAx>
      <c:valAx>
        <c:axId val="44329636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12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4925515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11"/>
          <c:w val="0.667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35"/>
          <c:w val="0.9397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'[3]Inflation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'[3]Inflation CPIX -NCPI'!$B$25:$B$37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39142</c:v>
                </c:pt>
                <c:pt idx="7">
                  <c:v>39174</c:v>
                </c:pt>
                <c:pt idx="8">
                  <c:v>39205</c:v>
                </c:pt>
                <c:pt idx="9">
                  <c:v>39237</c:v>
                </c:pt>
                <c:pt idx="10">
                  <c:v>39268</c:v>
                </c:pt>
                <c:pt idx="11">
                  <c:v>39300</c:v>
                </c:pt>
                <c:pt idx="12">
                  <c:v>39332</c:v>
                </c:pt>
              </c:numCache>
            </c:numRef>
          </c:cat>
          <c:val>
            <c:numRef>
              <c:f>'[3]Inflation CPIX -NCPI'!$C$25:$C$37</c:f>
              <c:numCache>
                <c:ptCount val="13"/>
                <c:pt idx="0">
                  <c:v>5.1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5.3</c:v>
                </c:pt>
                <c:pt idx="5">
                  <c:v>4.9</c:v>
                </c:pt>
                <c:pt idx="6">
                  <c:v>5.5</c:v>
                </c:pt>
                <c:pt idx="7">
                  <c:v>6.3</c:v>
                </c:pt>
                <c:pt idx="8">
                  <c:v>6.4</c:v>
                </c:pt>
                <c:pt idx="9">
                  <c:v>6.4</c:v>
                </c:pt>
                <c:pt idx="10">
                  <c:v>6.5</c:v>
                </c:pt>
                <c:pt idx="11">
                  <c:v>6.3</c:v>
                </c:pt>
                <c:pt idx="12">
                  <c:v>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'[3]Inflation CPIX -NCPI'!$B$25:$B$37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39142</c:v>
                </c:pt>
                <c:pt idx="7">
                  <c:v>39174</c:v>
                </c:pt>
                <c:pt idx="8">
                  <c:v>39205</c:v>
                </c:pt>
                <c:pt idx="9">
                  <c:v>39237</c:v>
                </c:pt>
                <c:pt idx="10">
                  <c:v>39268</c:v>
                </c:pt>
                <c:pt idx="11">
                  <c:v>39300</c:v>
                </c:pt>
                <c:pt idx="12">
                  <c:v>39332</c:v>
                </c:pt>
              </c:numCache>
            </c:numRef>
          </c:cat>
          <c:val>
            <c:numRef>
              <c:f>'[3]Inflation CPIX -NCPI'!$D$25:$D$37</c:f>
              <c:numCache>
                <c:ptCount val="13"/>
                <c:pt idx="0">
                  <c:v>5.5</c:v>
                </c:pt>
                <c:pt idx="1">
                  <c:v>5.8</c:v>
                </c:pt>
                <c:pt idx="2">
                  <c:v>6.1</c:v>
                </c:pt>
                <c:pt idx="3">
                  <c:v>6.1</c:v>
                </c:pt>
                <c:pt idx="4">
                  <c:v>6</c:v>
                </c:pt>
                <c:pt idx="5">
                  <c:v>6</c:v>
                </c:pt>
                <c:pt idx="6">
                  <c:v>6.3</c:v>
                </c:pt>
                <c:pt idx="7">
                  <c:v>6.9</c:v>
                </c:pt>
                <c:pt idx="8">
                  <c:v>7.1</c:v>
                </c:pt>
                <c:pt idx="9">
                  <c:v>7</c:v>
                </c:pt>
                <c:pt idx="10">
                  <c:v>7.2</c:v>
                </c:pt>
                <c:pt idx="11">
                  <c:v>6.8</c:v>
                </c:pt>
                <c:pt idx="12">
                  <c:v>6.7</c:v>
                </c:pt>
              </c:numCache>
            </c:numRef>
          </c:val>
          <c:smooth val="0"/>
        </c:ser>
        <c:marker val="1"/>
        <c:axId val="63422405"/>
        <c:axId val="33930734"/>
      </c:lineChart>
      <c:catAx>
        <c:axId val="6342240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33930734"/>
        <c:crosses val="autoZero"/>
        <c:auto val="1"/>
        <c:lblOffset val="100"/>
        <c:tickLblSkip val="1"/>
        <c:noMultiLvlLbl val="0"/>
      </c:catAx>
      <c:valAx>
        <c:axId val="33930734"/>
        <c:scaling>
          <c:orientation val="minMax"/>
          <c:max val="8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63422405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"/>
          <c:y val="0.90275"/>
          <c:w val="0.578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245"/>
          <c:w val="0.9505"/>
          <c:h val="0.963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'S5'!$AT$4:$BF$4</c:f>
              <c:str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39172</c:v>
                </c:pt>
                <c:pt idx="7">
                  <c:v>39202</c:v>
                </c:pt>
                <c:pt idx="8">
                  <c:v>39233</c:v>
                </c:pt>
                <c:pt idx="9">
                  <c:v>39263</c:v>
                </c:pt>
                <c:pt idx="10">
                  <c:v>39294</c:v>
                </c:pt>
                <c:pt idx="11">
                  <c:v>39325</c:v>
                </c:pt>
                <c:pt idx="12">
                  <c:v>39355</c:v>
                </c:pt>
              </c:strCache>
            </c:strRef>
          </c:cat>
          <c:val>
            <c:numRef>
              <c:f>'S5'!$AT$13:$BF$13</c:f>
              <c:numCache>
                <c:ptCount val="13"/>
                <c:pt idx="0">
                  <c:v>0.1349564090798672</c:v>
                </c:pt>
                <c:pt idx="1">
                  <c:v>0.13073262563405322</c:v>
                </c:pt>
                <c:pt idx="2">
                  <c:v>0.1377676135893974</c:v>
                </c:pt>
                <c:pt idx="3">
                  <c:v>0.14203334943044627</c:v>
                </c:pt>
                <c:pt idx="4">
                  <c:v>0.13920209359948774</c:v>
                </c:pt>
                <c:pt idx="5">
                  <c:v>0.13947390443248067</c:v>
                </c:pt>
                <c:pt idx="6">
                  <c:v>0.13602851157602633</c:v>
                </c:pt>
                <c:pt idx="7">
                  <c:v>0.14041788362165805</c:v>
                </c:pt>
                <c:pt idx="8">
                  <c:v>0.14247652699217803</c:v>
                </c:pt>
                <c:pt idx="9">
                  <c:v>0.13943500934214562</c:v>
                </c:pt>
                <c:pt idx="10">
                  <c:v>0.1434102968593145</c:v>
                </c:pt>
                <c:pt idx="11">
                  <c:v>0.1382475737550806</c:v>
                </c:pt>
                <c:pt idx="12">
                  <c:v>0.14028787071069837</c:v>
                </c:pt>
              </c:numCache>
            </c:numRef>
          </c:val>
          <c:smooth val="0"/>
        </c:ser>
        <c:marker val="1"/>
        <c:axId val="36941151"/>
        <c:axId val="64034904"/>
      </c:lineChart>
      <c:dateAx>
        <c:axId val="3694115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64034904"/>
        <c:crossesAt val="0.089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4034904"/>
        <c:scaling>
          <c:orientation val="minMax"/>
          <c:max val="0.15000000000000002"/>
          <c:min val="0.12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36941151"/>
        <c:crossesAt val="1"/>
        <c:crossBetween val="between"/>
        <c:dispUnits/>
        <c:majorUnit val="0.007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575"/>
          <c:w val="0.9342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chart'!$AU$2:$BG$2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39172</c:v>
                </c:pt>
                <c:pt idx="7">
                  <c:v>39202</c:v>
                </c:pt>
                <c:pt idx="8">
                  <c:v>39233</c:v>
                </c:pt>
                <c:pt idx="9">
                  <c:v>39263</c:v>
                </c:pt>
                <c:pt idx="10">
                  <c:v>39294</c:v>
                </c:pt>
                <c:pt idx="11">
                  <c:v>39325</c:v>
                </c:pt>
                <c:pt idx="12">
                  <c:v>39355</c:v>
                </c:pt>
              </c:numCache>
            </c:numRef>
          </c:cat>
          <c:val>
            <c:numRef>
              <c:f>'[2]Int reser chart'!$AU$3:$BG$3</c:f>
              <c:numCache>
                <c:ptCount val="13"/>
                <c:pt idx="0">
                  <c:v>3119.24184594</c:v>
                </c:pt>
                <c:pt idx="1">
                  <c:v>4104.408667917</c:v>
                </c:pt>
                <c:pt idx="2">
                  <c:v>3495.223781143</c:v>
                </c:pt>
                <c:pt idx="3">
                  <c:v>3164.29667116</c:v>
                </c:pt>
                <c:pt idx="4">
                  <c:v>4865.564786686</c:v>
                </c:pt>
                <c:pt idx="5">
                  <c:v>4466.368215629998</c:v>
                </c:pt>
                <c:pt idx="6">
                  <c:v>5690.014632319999</c:v>
                </c:pt>
                <c:pt idx="7">
                  <c:v>6260.11796704</c:v>
                </c:pt>
                <c:pt idx="8">
                  <c:v>5643.79369454</c:v>
                </c:pt>
                <c:pt idx="9">
                  <c:v>6085.291314379998</c:v>
                </c:pt>
                <c:pt idx="10">
                  <c:v>7455.908350520001</c:v>
                </c:pt>
                <c:pt idx="11">
                  <c:v>6359.042470910001</c:v>
                </c:pt>
                <c:pt idx="12">
                  <c:v>5868.650081049999</c:v>
                </c:pt>
              </c:numCache>
            </c:numRef>
          </c:val>
        </c:ser>
        <c:axId val="39443225"/>
        <c:axId val="19444706"/>
      </c:barChart>
      <c:catAx>
        <c:axId val="3944322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19444706"/>
        <c:crosses val="autoZero"/>
        <c:auto val="1"/>
        <c:lblOffset val="100"/>
        <c:tickLblSkip val="1"/>
        <c:noMultiLvlLbl val="0"/>
      </c:catAx>
      <c:valAx>
        <c:axId val="19444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39443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335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3</xdr:row>
      <xdr:rowOff>0</xdr:rowOff>
    </xdr:from>
    <xdr:to>
      <xdr:col>14</xdr:col>
      <xdr:colOff>266700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19125" y="552450"/>
        <a:ext cx="83153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314325</xdr:colOff>
      <xdr:row>47</xdr:row>
      <xdr:rowOff>28575</xdr:rowOff>
    </xdr:to>
    <xdr:graphicFrame>
      <xdr:nvGraphicFramePr>
        <xdr:cNvPr id="2" name="Chart 2"/>
        <xdr:cNvGraphicFramePr/>
      </xdr:nvGraphicFramePr>
      <xdr:xfrm>
        <a:off x="619125" y="5372100"/>
        <a:ext cx="836295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17</xdr:col>
      <xdr:colOff>542925</xdr:colOff>
      <xdr:row>54</xdr:row>
      <xdr:rowOff>142875</xdr:rowOff>
    </xdr:to>
    <xdr:graphicFrame>
      <xdr:nvGraphicFramePr>
        <xdr:cNvPr id="1" name="Chart 5"/>
        <xdr:cNvGraphicFramePr/>
      </xdr:nvGraphicFramePr>
      <xdr:xfrm>
        <a:off x="609600" y="6267450"/>
        <a:ext cx="96869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17</xdr:col>
      <xdr:colOff>533400</xdr:colOff>
      <xdr:row>25</xdr:row>
      <xdr:rowOff>0</xdr:rowOff>
    </xdr:to>
    <xdr:graphicFrame>
      <xdr:nvGraphicFramePr>
        <xdr:cNvPr id="2" name="Chart 8"/>
        <xdr:cNvGraphicFramePr/>
      </xdr:nvGraphicFramePr>
      <xdr:xfrm>
        <a:off x="609600" y="1009650"/>
        <a:ext cx="96774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609600</xdr:colOff>
      <xdr:row>61</xdr:row>
      <xdr:rowOff>0</xdr:rowOff>
    </xdr:from>
    <xdr:to>
      <xdr:col>17</xdr:col>
      <xdr:colOff>523875</xdr:colOff>
      <xdr:row>82</xdr:row>
      <xdr:rowOff>0</xdr:rowOff>
    </xdr:to>
    <xdr:graphicFrame>
      <xdr:nvGraphicFramePr>
        <xdr:cNvPr id="3" name="Chart 1"/>
        <xdr:cNvGraphicFramePr/>
      </xdr:nvGraphicFramePr>
      <xdr:xfrm>
        <a:off x="609600" y="11839575"/>
        <a:ext cx="966787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39</xdr:row>
      <xdr:rowOff>85725</xdr:rowOff>
    </xdr:from>
    <xdr:to>
      <xdr:col>17</xdr:col>
      <xdr:colOff>0</xdr:colOff>
      <xdr:row>68</xdr:row>
      <xdr:rowOff>28575</xdr:rowOff>
    </xdr:to>
    <xdr:graphicFrame>
      <xdr:nvGraphicFramePr>
        <xdr:cNvPr id="1" name="Chart 9"/>
        <xdr:cNvGraphicFramePr/>
      </xdr:nvGraphicFramePr>
      <xdr:xfrm>
        <a:off x="657225" y="6534150"/>
        <a:ext cx="96774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161925</xdr:rowOff>
    </xdr:from>
    <xdr:to>
      <xdr:col>17</xdr:col>
      <xdr:colOff>19050</xdr:colOff>
      <xdr:row>34</xdr:row>
      <xdr:rowOff>142875</xdr:rowOff>
    </xdr:to>
    <xdr:graphicFrame>
      <xdr:nvGraphicFramePr>
        <xdr:cNvPr id="2" name="Chart 1"/>
        <xdr:cNvGraphicFramePr/>
      </xdr:nvGraphicFramePr>
      <xdr:xfrm>
        <a:off x="609600" y="876300"/>
        <a:ext cx="97440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Sheet1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AT7">
            <v>38990</v>
          </cell>
          <cell r="AU7">
            <v>39021</v>
          </cell>
          <cell r="AV7">
            <v>39051</v>
          </cell>
          <cell r="AW7">
            <v>39082</v>
          </cell>
          <cell r="AX7">
            <v>39113</v>
          </cell>
          <cell r="AY7">
            <v>39141</v>
          </cell>
          <cell r="AZ7">
            <v>39172</v>
          </cell>
          <cell r="BA7">
            <v>39202</v>
          </cell>
          <cell r="BB7">
            <v>39233</v>
          </cell>
          <cell r="BC7">
            <v>39263</v>
          </cell>
          <cell r="BD7">
            <v>39294</v>
          </cell>
          <cell r="BE7">
            <v>39325</v>
          </cell>
          <cell r="BF7">
            <v>39355</v>
          </cell>
        </row>
        <row r="8">
          <cell r="AT8">
            <v>4.277929218815961</v>
          </cell>
          <cell r="AU8">
            <v>3.375699863912038</v>
          </cell>
          <cell r="AV8">
            <v>1.7061921582027462</v>
          </cell>
          <cell r="AW8">
            <v>-0.34170916060395856</v>
          </cell>
          <cell r="AX8">
            <v>3.1247813249456087</v>
          </cell>
          <cell r="AY8">
            <v>-0.8175012350289527</v>
          </cell>
          <cell r="AZ8">
            <v>-2.0163592435092164</v>
          </cell>
          <cell r="BA8">
            <v>2.124264004786151</v>
          </cell>
          <cell r="BB8">
            <v>1.8639134323938458</v>
          </cell>
          <cell r="BC8">
            <v>-4.265278640754327</v>
          </cell>
          <cell r="BD8">
            <v>10.478186527242048</v>
          </cell>
          <cell r="BE8">
            <v>0.3334290290081349</v>
          </cell>
          <cell r="BF8">
            <v>3.06292270218074</v>
          </cell>
        </row>
        <row r="9">
          <cell r="AT9">
            <v>4.381616536762638</v>
          </cell>
          <cell r="AU9">
            <v>11.541825685977763</v>
          </cell>
          <cell r="AV9">
            <v>-0.570174384078555</v>
          </cell>
          <cell r="AW9">
            <v>-3.8684085489309523</v>
          </cell>
          <cell r="AX9">
            <v>6.0581762262908185</v>
          </cell>
          <cell r="AY9">
            <v>0.8055996711286546</v>
          </cell>
          <cell r="AZ9">
            <v>1.2216558177303205</v>
          </cell>
          <cell r="BA9">
            <v>0.2938067770753827</v>
          </cell>
          <cell r="BB9">
            <v>0.41015757279167386</v>
          </cell>
          <cell r="BC9">
            <v>-10.514576369690575</v>
          </cell>
          <cell r="BD9">
            <v>17.23661372104195</v>
          </cell>
          <cell r="BE9">
            <v>1.5324787126917128</v>
          </cell>
          <cell r="BF9">
            <v>-4.208677112895326</v>
          </cell>
        </row>
      </sheetData>
      <sheetData sheetId="8">
        <row r="2">
          <cell r="AU2">
            <v>38990</v>
          </cell>
          <cell r="AV2">
            <v>39021</v>
          </cell>
          <cell r="AW2">
            <v>39051</v>
          </cell>
          <cell r="AX2">
            <v>39082</v>
          </cell>
          <cell r="AY2">
            <v>39113</v>
          </cell>
          <cell r="AZ2">
            <v>39141</v>
          </cell>
          <cell r="BA2">
            <v>39172</v>
          </cell>
          <cell r="BB2">
            <v>39202</v>
          </cell>
          <cell r="BC2">
            <v>39233</v>
          </cell>
          <cell r="BD2">
            <v>39263</v>
          </cell>
          <cell r="BE2">
            <v>39294</v>
          </cell>
          <cell r="BF2">
            <v>39325</v>
          </cell>
          <cell r="BG2">
            <v>39355</v>
          </cell>
        </row>
        <row r="3">
          <cell r="AU3">
            <v>3119.24184594</v>
          </cell>
          <cell r="AV3">
            <v>4104.408667917</v>
          </cell>
          <cell r="AW3">
            <v>3495.223781143</v>
          </cell>
          <cell r="AX3">
            <v>3164.29667116</v>
          </cell>
          <cell r="AY3">
            <v>4865.564786686</v>
          </cell>
          <cell r="AZ3">
            <v>4466.368215629998</v>
          </cell>
          <cell r="BA3">
            <v>5690.014632319999</v>
          </cell>
          <cell r="BB3">
            <v>6260.11796704</v>
          </cell>
          <cell r="BC3">
            <v>5643.79369454</v>
          </cell>
          <cell r="BD3">
            <v>6085.291314379998</v>
          </cell>
          <cell r="BE3">
            <v>7455.908350520001</v>
          </cell>
          <cell r="BF3">
            <v>6359.042470910001</v>
          </cell>
          <cell r="BG3">
            <v>5868.650081049999</v>
          </cell>
        </row>
      </sheetData>
      <sheetData sheetId="9">
        <row r="10">
          <cell r="AS10">
            <v>38990</v>
          </cell>
          <cell r="AT10">
            <v>39021</v>
          </cell>
          <cell r="AU10">
            <v>39051</v>
          </cell>
          <cell r="AV10">
            <v>39082</v>
          </cell>
          <cell r="AW10">
            <v>39113</v>
          </cell>
          <cell r="AX10">
            <v>39141</v>
          </cell>
          <cell r="AY10">
            <v>39172</v>
          </cell>
          <cell r="AZ10">
            <v>39202</v>
          </cell>
          <cell r="BA10">
            <v>39233</v>
          </cell>
          <cell r="BB10">
            <v>39263</v>
          </cell>
          <cell r="BC10">
            <v>39294</v>
          </cell>
          <cell r="BD10">
            <v>39325</v>
          </cell>
          <cell r="BE10">
            <v>39355</v>
          </cell>
        </row>
        <row r="11">
          <cell r="B11" t="str">
            <v>Domestic claims</v>
          </cell>
          <cell r="AS11">
            <v>0.20969565247536456</v>
          </cell>
          <cell r="AT11">
            <v>-1.5314771320431253</v>
          </cell>
          <cell r="AU11">
            <v>2.9984069201778913</v>
          </cell>
          <cell r="AV11">
            <v>0.2131848422549674</v>
          </cell>
          <cell r="AW11">
            <v>-6.01361231956756</v>
          </cell>
          <cell r="AX11">
            <v>3.468989134525586</v>
          </cell>
          <cell r="AY11">
            <v>-1.1060404066356289</v>
          </cell>
          <cell r="AZ11">
            <v>-2.5080256273845984</v>
          </cell>
          <cell r="BA11">
            <v>3.6996475995276263</v>
          </cell>
          <cell r="BB11">
            <v>0.6628882707765882</v>
          </cell>
          <cell r="BC11">
            <v>1.3635344568103014</v>
          </cell>
          <cell r="BD11">
            <v>4.022601386657635</v>
          </cell>
          <cell r="BE11">
            <v>3.3917655819846364</v>
          </cell>
        </row>
        <row r="12">
          <cell r="B12" t="str">
            <v>Other sectors claims</v>
          </cell>
          <cell r="AS12">
            <v>0.057520487008683195</v>
          </cell>
          <cell r="AT12">
            <v>1.4821953880777343</v>
          </cell>
          <cell r="AU12">
            <v>0.15550027153967988</v>
          </cell>
          <cell r="AV12">
            <v>0.6583832117324644</v>
          </cell>
          <cell r="AW12">
            <v>2.5491633077906704</v>
          </cell>
          <cell r="AX12">
            <v>1.43400578490035</v>
          </cell>
          <cell r="AY12">
            <v>0.775029504938087</v>
          </cell>
          <cell r="AZ12">
            <v>0.4128579839358425</v>
          </cell>
          <cell r="BA12">
            <v>0.13441753430499181</v>
          </cell>
          <cell r="BB12">
            <v>1.6600517682014835</v>
          </cell>
          <cell r="BC12">
            <v>0.4982491808369909</v>
          </cell>
          <cell r="BD12">
            <v>0.6463034678748828</v>
          </cell>
          <cell r="BE12">
            <v>0.7472609684208106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25">
          <cell r="B25">
            <v>38990</v>
          </cell>
          <cell r="C25">
            <v>5.1</v>
          </cell>
          <cell r="D25">
            <v>5.5</v>
          </cell>
        </row>
        <row r="26">
          <cell r="B26">
            <v>39021</v>
          </cell>
          <cell r="C26">
            <v>5</v>
          </cell>
          <cell r="D26">
            <v>5.8</v>
          </cell>
        </row>
        <row r="27">
          <cell r="B27">
            <v>39051</v>
          </cell>
          <cell r="C27">
            <v>5</v>
          </cell>
          <cell r="D27">
            <v>6.1</v>
          </cell>
        </row>
        <row r="28">
          <cell r="B28">
            <v>39082</v>
          </cell>
          <cell r="C28">
            <v>5</v>
          </cell>
          <cell r="D28">
            <v>6.1</v>
          </cell>
        </row>
        <row r="29">
          <cell r="B29">
            <v>39113</v>
          </cell>
          <cell r="C29">
            <v>5.3</v>
          </cell>
          <cell r="D29">
            <v>6</v>
          </cell>
        </row>
        <row r="30">
          <cell r="B30">
            <v>39141</v>
          </cell>
          <cell r="C30">
            <v>4.9</v>
          </cell>
          <cell r="D30">
            <v>6</v>
          </cell>
        </row>
        <row r="31">
          <cell r="B31">
            <v>39142</v>
          </cell>
          <cell r="C31">
            <v>5.5</v>
          </cell>
          <cell r="D31">
            <v>6.3</v>
          </cell>
        </row>
        <row r="32">
          <cell r="B32">
            <v>39174</v>
          </cell>
          <cell r="C32">
            <v>6.3</v>
          </cell>
          <cell r="D32">
            <v>6.9</v>
          </cell>
        </row>
        <row r="33">
          <cell r="B33">
            <v>39205</v>
          </cell>
          <cell r="C33">
            <v>6.4</v>
          </cell>
          <cell r="D33">
            <v>7.1</v>
          </cell>
        </row>
        <row r="34">
          <cell r="B34">
            <v>39237</v>
          </cell>
          <cell r="C34">
            <v>6.4</v>
          </cell>
          <cell r="D34">
            <v>7</v>
          </cell>
        </row>
        <row r="35">
          <cell r="B35">
            <v>39268</v>
          </cell>
          <cell r="C35">
            <v>6.5</v>
          </cell>
          <cell r="D35">
            <v>7.2</v>
          </cell>
        </row>
        <row r="36">
          <cell r="B36">
            <v>39300</v>
          </cell>
          <cell r="C36">
            <v>6.3</v>
          </cell>
          <cell r="D36">
            <v>6.8</v>
          </cell>
        </row>
        <row r="37">
          <cell r="B37">
            <v>39332</v>
          </cell>
          <cell r="C37">
            <v>6.7</v>
          </cell>
          <cell r="D37">
            <v>6.7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97">
          <cell r="D197">
            <v>38962</v>
          </cell>
          <cell r="F197">
            <v>8</v>
          </cell>
          <cell r="K197">
            <v>6.22</v>
          </cell>
          <cell r="L197">
            <v>11.71</v>
          </cell>
        </row>
        <row r="198">
          <cell r="D198">
            <v>38992</v>
          </cell>
          <cell r="F198">
            <v>8.5</v>
          </cell>
          <cell r="K198">
            <v>6.37</v>
          </cell>
          <cell r="L198">
            <v>11.97</v>
          </cell>
        </row>
        <row r="199">
          <cell r="D199">
            <v>39023</v>
          </cell>
          <cell r="F199">
            <v>8.5</v>
          </cell>
          <cell r="K199">
            <v>6.64</v>
          </cell>
          <cell r="L199">
            <v>12.2</v>
          </cell>
        </row>
        <row r="200">
          <cell r="D200">
            <v>39053</v>
          </cell>
          <cell r="F200">
            <v>9</v>
          </cell>
          <cell r="K200">
            <v>6.85</v>
          </cell>
          <cell r="L200">
            <v>12.43</v>
          </cell>
        </row>
        <row r="201">
          <cell r="D201">
            <v>39084</v>
          </cell>
          <cell r="F201">
            <v>9</v>
          </cell>
          <cell r="K201">
            <v>6.98</v>
          </cell>
          <cell r="L201">
            <v>12.63</v>
          </cell>
        </row>
        <row r="202">
          <cell r="D202">
            <v>39115</v>
          </cell>
          <cell r="F202">
            <v>9</v>
          </cell>
          <cell r="K202">
            <v>7.38</v>
          </cell>
          <cell r="L202">
            <v>12.32</v>
          </cell>
        </row>
        <row r="203">
          <cell r="D203">
            <v>39143</v>
          </cell>
          <cell r="F203">
            <v>9</v>
          </cell>
          <cell r="K203">
            <v>7.22</v>
          </cell>
          <cell r="L203">
            <v>11.9</v>
          </cell>
        </row>
        <row r="204">
          <cell r="D204">
            <v>39174</v>
          </cell>
          <cell r="F204">
            <v>9</v>
          </cell>
          <cell r="K204">
            <v>7.18</v>
          </cell>
          <cell r="L204">
            <v>12.44</v>
          </cell>
        </row>
        <row r="205">
          <cell r="D205">
            <v>39204</v>
          </cell>
          <cell r="F205">
            <v>9</v>
          </cell>
          <cell r="K205">
            <v>7.34</v>
          </cell>
          <cell r="L205">
            <v>12.65</v>
          </cell>
        </row>
        <row r="206">
          <cell r="D206">
            <v>39235</v>
          </cell>
          <cell r="F206">
            <v>9.5</v>
          </cell>
          <cell r="K206">
            <v>7.24</v>
          </cell>
          <cell r="L206">
            <v>12.22</v>
          </cell>
        </row>
        <row r="207">
          <cell r="D207">
            <v>39265</v>
          </cell>
          <cell r="F207">
            <v>9.5</v>
          </cell>
          <cell r="K207">
            <v>7.49</v>
          </cell>
          <cell r="L207">
            <v>13.03</v>
          </cell>
        </row>
        <row r="208">
          <cell r="D208">
            <v>39296</v>
          </cell>
          <cell r="F208">
            <v>10</v>
          </cell>
          <cell r="K208">
            <v>7.68</v>
          </cell>
          <cell r="L208">
            <v>12.85</v>
          </cell>
        </row>
        <row r="209">
          <cell r="D209">
            <v>39327</v>
          </cell>
          <cell r="F209">
            <v>10</v>
          </cell>
          <cell r="K209">
            <v>7.74</v>
          </cell>
          <cell r="L209">
            <v>12.89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31">
          <cell r="B131">
            <v>38990</v>
          </cell>
          <cell r="C131">
            <v>754.36</v>
          </cell>
          <cell r="D131">
            <v>82.05</v>
          </cell>
        </row>
        <row r="132">
          <cell r="B132">
            <v>39021</v>
          </cell>
          <cell r="C132">
            <v>790.35</v>
          </cell>
          <cell r="D132">
            <v>86.01</v>
          </cell>
        </row>
        <row r="133">
          <cell r="B133">
            <v>39051</v>
          </cell>
          <cell r="C133">
            <v>792.6</v>
          </cell>
          <cell r="D133">
            <v>88.1</v>
          </cell>
        </row>
        <row r="134">
          <cell r="B134">
            <v>39082</v>
          </cell>
          <cell r="C134">
            <v>828</v>
          </cell>
          <cell r="D134">
            <v>91</v>
          </cell>
        </row>
        <row r="135">
          <cell r="B135">
            <v>39113</v>
          </cell>
          <cell r="C135">
            <v>838.25</v>
          </cell>
          <cell r="D135">
            <v>92.2</v>
          </cell>
        </row>
        <row r="136">
          <cell r="B136">
            <v>39141</v>
          </cell>
          <cell r="C136">
            <v>852.78</v>
          </cell>
          <cell r="D136">
            <v>94.25</v>
          </cell>
        </row>
        <row r="137">
          <cell r="B137">
            <v>39172</v>
          </cell>
          <cell r="C137">
            <v>911.26</v>
          </cell>
          <cell r="D137">
            <v>101.61</v>
          </cell>
        </row>
        <row r="138">
          <cell r="B138">
            <v>39202</v>
          </cell>
          <cell r="C138">
            <v>935</v>
          </cell>
          <cell r="D138">
            <v>101.61</v>
          </cell>
        </row>
        <row r="139">
          <cell r="B139">
            <v>39233</v>
          </cell>
          <cell r="C139">
            <v>977</v>
          </cell>
          <cell r="D139">
            <v>104</v>
          </cell>
        </row>
        <row r="140">
          <cell r="B140">
            <v>39263</v>
          </cell>
          <cell r="C140">
            <v>936</v>
          </cell>
          <cell r="D140">
            <v>105</v>
          </cell>
        </row>
        <row r="141">
          <cell r="B141">
            <v>39294</v>
          </cell>
          <cell r="C141">
            <v>936</v>
          </cell>
          <cell r="D141">
            <v>108</v>
          </cell>
        </row>
        <row r="142">
          <cell r="B142">
            <v>39325</v>
          </cell>
          <cell r="C142">
            <v>927</v>
          </cell>
          <cell r="D142">
            <v>109</v>
          </cell>
        </row>
        <row r="143">
          <cell r="B143">
            <v>39355</v>
          </cell>
          <cell r="C143">
            <v>972</v>
          </cell>
          <cell r="D143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">
      <selection activeCell="A5" sqref="A5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130</v>
      </c>
    </row>
    <row r="2" ht="37.5">
      <c r="A2" s="27"/>
    </row>
    <row r="3" ht="37.5">
      <c r="A3" s="27"/>
    </row>
    <row r="4" ht="33">
      <c r="A4" s="28"/>
    </row>
    <row r="5" ht="37.5">
      <c r="A5" s="27"/>
    </row>
    <row r="6" ht="33">
      <c r="A6" s="28"/>
    </row>
    <row r="7" ht="37.5">
      <c r="A7" s="29"/>
    </row>
    <row r="8" ht="37.5">
      <c r="A8" s="29"/>
    </row>
    <row r="9" ht="33">
      <c r="A9" s="114"/>
    </row>
    <row r="11" ht="40.5">
      <c r="A11" s="30"/>
    </row>
    <row r="12" ht="40.5">
      <c r="A12" s="30"/>
    </row>
    <row r="13" ht="40.5">
      <c r="A13" s="30" t="s">
        <v>47</v>
      </c>
    </row>
    <row r="14" ht="40.5">
      <c r="A14" s="30"/>
    </row>
    <row r="15" ht="40.5">
      <c r="A15" s="30" t="s">
        <v>48</v>
      </c>
    </row>
    <row r="16" ht="40.5">
      <c r="A16" s="30"/>
    </row>
    <row r="17" ht="40.5">
      <c r="A17" s="30" t="s">
        <v>49</v>
      </c>
    </row>
    <row r="18" ht="40.5">
      <c r="A18" s="30"/>
    </row>
    <row r="19" ht="40.5">
      <c r="A19" s="32">
        <v>39355</v>
      </c>
    </row>
    <row r="20" ht="40.5">
      <c r="A20" s="31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L53"/>
  <sheetViews>
    <sheetView zoomScalePageLayoutView="0" workbookViewId="0" topLeftCell="A1">
      <selection activeCell="C12" sqref="C12"/>
    </sheetView>
  </sheetViews>
  <sheetFormatPr defaultColWidth="9.140625" defaultRowHeight="12"/>
  <cols>
    <col min="2" max="2" width="48.00390625" style="0" customWidth="1"/>
    <col min="3" max="4" width="9.7109375" style="0" customWidth="1"/>
    <col min="5" max="5" width="11.140625" style="0" customWidth="1"/>
    <col min="6" max="6" width="9.421875" style="0" customWidth="1"/>
    <col min="7" max="7" width="8.421875" style="0" customWidth="1"/>
    <col min="8" max="8" width="9.28125" style="0" customWidth="1"/>
    <col min="9" max="9" width="9.140625" style="0" customWidth="1"/>
  </cols>
  <sheetData>
    <row r="1" ht="12" thickBot="1"/>
    <row r="2" spans="2:9" ht="11.25">
      <c r="B2" s="226" t="s">
        <v>163</v>
      </c>
      <c r="C2" s="227"/>
      <c r="D2" s="227"/>
      <c r="E2" s="227"/>
      <c r="F2" s="227"/>
      <c r="G2" s="227"/>
      <c r="H2" s="227"/>
      <c r="I2" s="228"/>
    </row>
    <row r="3" spans="2:9" ht="11.25">
      <c r="B3" s="134"/>
      <c r="C3" s="24"/>
      <c r="D3" s="24"/>
      <c r="E3" s="24"/>
      <c r="F3" s="220" t="s">
        <v>148</v>
      </c>
      <c r="G3" s="221"/>
      <c r="H3" s="220" t="s">
        <v>150</v>
      </c>
      <c r="I3" s="222"/>
    </row>
    <row r="4" spans="2:9" ht="11.25">
      <c r="B4" s="135"/>
      <c r="C4" s="12">
        <v>38988</v>
      </c>
      <c r="D4" s="12">
        <v>39324</v>
      </c>
      <c r="E4" s="12">
        <v>39355</v>
      </c>
      <c r="F4" s="12" t="s">
        <v>153</v>
      </c>
      <c r="G4" s="112" t="s">
        <v>151</v>
      </c>
      <c r="H4" s="112" t="s">
        <v>153</v>
      </c>
      <c r="I4" s="136" t="s">
        <v>151</v>
      </c>
    </row>
    <row r="5" spans="2:9" ht="11.25">
      <c r="B5" s="137"/>
      <c r="C5" s="37"/>
      <c r="D5" s="37"/>
      <c r="E5" s="37"/>
      <c r="F5" s="37"/>
      <c r="G5" s="38"/>
      <c r="H5" s="38"/>
      <c r="I5" s="138"/>
    </row>
    <row r="6" spans="2:12" ht="11.25">
      <c r="B6" s="139" t="s">
        <v>1</v>
      </c>
      <c r="C6" s="43">
        <v>3944.26486974</v>
      </c>
      <c r="D6" s="43">
        <v>8336.481531933014</v>
      </c>
      <c r="E6" s="43">
        <v>7825.456508621507</v>
      </c>
      <c r="F6" s="43">
        <v>-511.02502331150663</v>
      </c>
      <c r="G6" s="43">
        <v>3881.191638881507</v>
      </c>
      <c r="H6" s="43">
        <v>-6.129984470714867</v>
      </c>
      <c r="I6" s="140">
        <v>98.4008875432686</v>
      </c>
      <c r="L6" s="63"/>
    </row>
    <row r="7" spans="2:9" ht="11.25">
      <c r="B7" s="139" t="s">
        <v>79</v>
      </c>
      <c r="C7" s="43">
        <v>27940.08102559</v>
      </c>
      <c r="D7" s="43">
        <v>29305.583689789997</v>
      </c>
      <c r="E7" s="43">
        <v>30299.560390979997</v>
      </c>
      <c r="F7" s="43">
        <v>993.9767011900003</v>
      </c>
      <c r="G7" s="118">
        <v>2359.479365389998</v>
      </c>
      <c r="H7" s="118">
        <v>3.3917655819846364</v>
      </c>
      <c r="I7" s="140">
        <v>8.444783546722638</v>
      </c>
    </row>
    <row r="8" spans="2:9" ht="11.25">
      <c r="B8" s="141" t="s">
        <v>93</v>
      </c>
      <c r="C8" s="13">
        <v>183.58551917999966</v>
      </c>
      <c r="D8" s="13">
        <v>-1692.9865008800016</v>
      </c>
      <c r="E8" s="13">
        <v>-1095.7417554000003</v>
      </c>
      <c r="F8" s="13">
        <v>597.2447454800013</v>
      </c>
      <c r="G8" s="119">
        <v>-1279.32727458</v>
      </c>
      <c r="H8" s="119">
        <v>-35.27758462158783</v>
      </c>
      <c r="I8" s="142">
        <v>-696.8563099607334</v>
      </c>
    </row>
    <row r="9" spans="2:9" ht="11.25">
      <c r="B9" s="141" t="s">
        <v>50</v>
      </c>
      <c r="C9" s="13">
        <v>27756.49550641</v>
      </c>
      <c r="D9" s="13">
        <v>30998.570190669998</v>
      </c>
      <c r="E9" s="13">
        <v>31395.302146379996</v>
      </c>
      <c r="F9" s="13">
        <v>396.73195570999815</v>
      </c>
      <c r="G9" s="119">
        <v>3638.8066399699965</v>
      </c>
      <c r="H9" s="119">
        <v>1.2798395321775429</v>
      </c>
      <c r="I9" s="142">
        <v>13.109748091684203</v>
      </c>
    </row>
    <row r="10" spans="2:9" ht="11.25">
      <c r="B10" s="143" t="s">
        <v>94</v>
      </c>
      <c r="C10" s="13">
        <v>731.942</v>
      </c>
      <c r="D10" s="13">
        <v>1027.7189999999998</v>
      </c>
      <c r="E10" s="13">
        <v>1193.1399999999999</v>
      </c>
      <c r="F10" s="13">
        <v>165.42100000000005</v>
      </c>
      <c r="G10" s="119">
        <v>461.19799999999987</v>
      </c>
      <c r="H10" s="119">
        <v>16.09593672978704</v>
      </c>
      <c r="I10" s="142">
        <v>63.01018386702769</v>
      </c>
    </row>
    <row r="11" spans="2:9" ht="11.25">
      <c r="B11" s="143" t="s">
        <v>95</v>
      </c>
      <c r="C11" s="13">
        <v>31.297</v>
      </c>
      <c r="D11" s="13">
        <v>40.082</v>
      </c>
      <c r="E11" s="13">
        <v>47.732</v>
      </c>
      <c r="F11" s="13">
        <v>7.649999999999999</v>
      </c>
      <c r="G11" s="119">
        <v>16.435</v>
      </c>
      <c r="H11" s="119">
        <v>19.085873958385307</v>
      </c>
      <c r="I11" s="142">
        <v>52.51302041729239</v>
      </c>
    </row>
    <row r="12" spans="2:9" ht="11.25">
      <c r="B12" s="143" t="s">
        <v>96</v>
      </c>
      <c r="C12" s="13">
        <v>204.046</v>
      </c>
      <c r="D12" s="13">
        <v>115.34100000000001</v>
      </c>
      <c r="E12" s="13">
        <v>132.086</v>
      </c>
      <c r="F12" s="13">
        <v>16.745000000000005</v>
      </c>
      <c r="G12" s="119">
        <v>-71.95999999999998</v>
      </c>
      <c r="H12" s="119">
        <v>14.517821069697682</v>
      </c>
      <c r="I12" s="142">
        <v>-35.26655754094664</v>
      </c>
    </row>
    <row r="13" spans="2:9" ht="11.25">
      <c r="B13" s="143" t="s">
        <v>97</v>
      </c>
      <c r="C13" s="13">
        <v>9264.81244724</v>
      </c>
      <c r="D13" s="13">
        <v>10188.57634913</v>
      </c>
      <c r="E13" s="13">
        <v>10231.857276539999</v>
      </c>
      <c r="F13" s="13">
        <v>43.280927409998185</v>
      </c>
      <c r="G13" s="119">
        <v>967.044829299999</v>
      </c>
      <c r="H13" s="119">
        <v>0.42479857761181644</v>
      </c>
      <c r="I13" s="142">
        <v>10.437824130893043</v>
      </c>
    </row>
    <row r="14" spans="2:12" ht="11.25">
      <c r="B14" s="143" t="s">
        <v>98</v>
      </c>
      <c r="C14" s="13">
        <v>17524.398059170002</v>
      </c>
      <c r="D14" s="13">
        <v>19626.85184154</v>
      </c>
      <c r="E14" s="13">
        <v>19790.48686984</v>
      </c>
      <c r="F14" s="13">
        <v>163.63502829999925</v>
      </c>
      <c r="G14" s="119">
        <v>2266.0888106699967</v>
      </c>
      <c r="H14" s="119">
        <v>0.8337303894742184</v>
      </c>
      <c r="I14" s="142">
        <v>12.931050772863603</v>
      </c>
      <c r="J14" s="60"/>
      <c r="K14" s="60"/>
      <c r="L14" s="63"/>
    </row>
    <row r="15" spans="2:9" ht="11.25">
      <c r="B15" s="139" t="s">
        <v>45</v>
      </c>
      <c r="C15" s="13">
        <v>-10372.386007409452</v>
      </c>
      <c r="D15" s="13">
        <v>-12704.720453004242</v>
      </c>
      <c r="E15" s="13">
        <v>-12423.86832980151</v>
      </c>
      <c r="F15" s="13">
        <v>280.8521232027324</v>
      </c>
      <c r="G15" s="119">
        <v>-2164.7889278715083</v>
      </c>
      <c r="H15" s="119">
        <v>-2.210612380190705</v>
      </c>
      <c r="I15" s="142">
        <v>21.101200634671518</v>
      </c>
    </row>
    <row r="16" spans="2:9" ht="12" thickBot="1">
      <c r="B16" s="144" t="s">
        <v>53</v>
      </c>
      <c r="C16" s="45">
        <v>21511.9098879205</v>
      </c>
      <c r="D16" s="45">
        <v>24937.344768718765</v>
      </c>
      <c r="E16" s="45">
        <v>25701.148569799996</v>
      </c>
      <c r="F16" s="45">
        <v>763.8038010812306</v>
      </c>
      <c r="G16" s="120">
        <v>4075.8820763999975</v>
      </c>
      <c r="H16" s="120">
        <v>3.0628914512155316</v>
      </c>
      <c r="I16" s="145">
        <v>18.847777333259458</v>
      </c>
    </row>
    <row r="17" spans="2:11" ht="12" thickBot="1">
      <c r="B17" s="46"/>
      <c r="C17" s="39"/>
      <c r="D17" s="39"/>
      <c r="E17" s="39"/>
      <c r="F17" s="39"/>
      <c r="G17" s="39"/>
      <c r="H17" s="39"/>
      <c r="I17" s="39"/>
      <c r="K17" s="60"/>
    </row>
    <row r="18" spans="2:9" ht="11.25">
      <c r="B18" s="223" t="s">
        <v>162</v>
      </c>
      <c r="C18" s="224"/>
      <c r="D18" s="224"/>
      <c r="E18" s="224"/>
      <c r="F18" s="224"/>
      <c r="G18" s="224"/>
      <c r="H18" s="224"/>
      <c r="I18" s="225"/>
    </row>
    <row r="19" spans="2:9" ht="11.25">
      <c r="B19" s="134"/>
      <c r="C19" s="24"/>
      <c r="D19" s="24"/>
      <c r="E19" s="24"/>
      <c r="F19" s="220" t="s">
        <v>148</v>
      </c>
      <c r="G19" s="221"/>
      <c r="H19" s="220" t="s">
        <v>152</v>
      </c>
      <c r="I19" s="222"/>
    </row>
    <row r="20" spans="2:9" ht="11.25">
      <c r="B20" s="135"/>
      <c r="C20" s="12">
        <v>38988</v>
      </c>
      <c r="D20" s="12">
        <v>39324</v>
      </c>
      <c r="E20" s="12">
        <v>39355</v>
      </c>
      <c r="F20" s="12" t="s">
        <v>153</v>
      </c>
      <c r="G20" s="112" t="s">
        <v>151</v>
      </c>
      <c r="H20" s="112" t="s">
        <v>153</v>
      </c>
      <c r="I20" s="136" t="s">
        <v>151</v>
      </c>
    </row>
    <row r="21" spans="2:9" ht="11.25">
      <c r="B21" s="146"/>
      <c r="C21" s="40"/>
      <c r="D21" s="40"/>
      <c r="E21" s="40"/>
      <c r="F21" s="40"/>
      <c r="G21" s="40"/>
      <c r="H21" s="40"/>
      <c r="I21" s="147"/>
    </row>
    <row r="22" spans="2:9" ht="11.25">
      <c r="B22" s="139" t="s">
        <v>53</v>
      </c>
      <c r="C22" s="43">
        <v>21511.921311880003</v>
      </c>
      <c r="D22" s="43">
        <v>24937.39690284</v>
      </c>
      <c r="E22" s="43">
        <v>25701.210093910002</v>
      </c>
      <c r="F22" s="43">
        <v>763.8131910700031</v>
      </c>
      <c r="G22" s="43">
        <v>4189.288782029998</v>
      </c>
      <c r="H22" s="43">
        <v>3.06292270218074</v>
      </c>
      <c r="I22" s="140">
        <v>19.474266018797934</v>
      </c>
    </row>
    <row r="23" spans="2:10" ht="11.25">
      <c r="B23" s="141" t="s">
        <v>54</v>
      </c>
      <c r="C23" s="13">
        <v>785.6441736700001</v>
      </c>
      <c r="D23" s="13">
        <v>883.0532800800001</v>
      </c>
      <c r="E23" s="13">
        <v>861.8369732400001</v>
      </c>
      <c r="F23" s="13">
        <v>-21.216306840000016</v>
      </c>
      <c r="G23" s="13">
        <v>76.19279957000003</v>
      </c>
      <c r="H23" s="13">
        <v>-2.4026077835391684</v>
      </c>
      <c r="I23" s="142">
        <v>9.698130798078552</v>
      </c>
      <c r="J23" s="60"/>
    </row>
    <row r="24" spans="2:9" ht="11.25">
      <c r="B24" s="141" t="s">
        <v>55</v>
      </c>
      <c r="C24" s="13">
        <v>12065.229162530002</v>
      </c>
      <c r="D24" s="13">
        <v>15021.7304618</v>
      </c>
      <c r="E24" s="13">
        <v>14373.56577544</v>
      </c>
      <c r="F24" s="13">
        <v>-648.1646863599999</v>
      </c>
      <c r="G24" s="13">
        <v>2308.3366129099977</v>
      </c>
      <c r="H24" s="13">
        <v>-4.314847001204498</v>
      </c>
      <c r="I24" s="142">
        <v>19.132140648258968</v>
      </c>
    </row>
    <row r="25" spans="2:9" ht="11.25">
      <c r="B25" s="141" t="s">
        <v>56</v>
      </c>
      <c r="C25" s="13">
        <v>8655.23021856</v>
      </c>
      <c r="D25" s="13">
        <v>9026.74516096</v>
      </c>
      <c r="E25" s="13">
        <v>10459.939345230001</v>
      </c>
      <c r="F25" s="13">
        <v>1433.1941842700016</v>
      </c>
      <c r="G25" s="13">
        <v>1804.7091266700008</v>
      </c>
      <c r="H25" s="13">
        <v>15.877197801799698</v>
      </c>
      <c r="I25" s="142">
        <v>20.85108172859504</v>
      </c>
    </row>
    <row r="26" spans="2:9" ht="12" thickBot="1">
      <c r="B26" s="148" t="s">
        <v>137</v>
      </c>
      <c r="C26" s="149">
        <v>5.8177571200000004</v>
      </c>
      <c r="D26" s="149">
        <v>5.868</v>
      </c>
      <c r="E26" s="149">
        <v>5.868</v>
      </c>
      <c r="F26" s="149">
        <v>0</v>
      </c>
      <c r="G26" s="149">
        <v>0.05024287999999988</v>
      </c>
      <c r="H26" s="149">
        <v>0</v>
      </c>
      <c r="I26" s="150">
        <v>0.8636125393973111</v>
      </c>
    </row>
    <row r="27" spans="2:9" ht="11.25">
      <c r="B27" s="48"/>
      <c r="C27" s="113"/>
      <c r="D27" s="113"/>
      <c r="E27" s="113"/>
      <c r="F27" s="113"/>
      <c r="G27" s="113"/>
      <c r="H27" s="113"/>
      <c r="I27" s="113"/>
    </row>
    <row r="28" spans="2:9" ht="11.25">
      <c r="B28" s="48"/>
      <c r="C28" s="26"/>
      <c r="D28" s="26"/>
      <c r="E28" s="26"/>
      <c r="F28" s="26"/>
      <c r="G28" s="26"/>
      <c r="H28" s="26"/>
      <c r="I28" s="26"/>
    </row>
    <row r="29" spans="2:9" ht="12" thickBot="1">
      <c r="B29" s="47"/>
      <c r="C29" s="39"/>
      <c r="D29" s="39"/>
      <c r="E29" s="39"/>
      <c r="F29" s="39"/>
      <c r="G29" s="39"/>
      <c r="H29" s="39"/>
      <c r="I29" s="39"/>
    </row>
    <row r="30" spans="2:9" ht="11.25">
      <c r="B30" s="223" t="s">
        <v>161</v>
      </c>
      <c r="C30" s="224"/>
      <c r="D30" s="224"/>
      <c r="E30" s="224"/>
      <c r="F30" s="224"/>
      <c r="G30" s="224"/>
      <c r="H30" s="224"/>
      <c r="I30" s="225"/>
    </row>
    <row r="31" spans="2:9" ht="11.25">
      <c r="B31" s="134"/>
      <c r="C31" s="24"/>
      <c r="D31" s="24"/>
      <c r="E31" s="24"/>
      <c r="F31" s="220" t="s">
        <v>147</v>
      </c>
      <c r="G31" s="221"/>
      <c r="H31" s="220" t="s">
        <v>150</v>
      </c>
      <c r="I31" s="222"/>
    </row>
    <row r="32" spans="2:9" ht="11.25">
      <c r="B32" s="135"/>
      <c r="C32" s="12">
        <v>38988</v>
      </c>
      <c r="D32" s="12">
        <v>39324</v>
      </c>
      <c r="E32" s="12">
        <v>39355</v>
      </c>
      <c r="F32" s="12" t="s">
        <v>153</v>
      </c>
      <c r="G32" s="112" t="s">
        <v>151</v>
      </c>
      <c r="H32" s="112" t="s">
        <v>153</v>
      </c>
      <c r="I32" s="136" t="s">
        <v>151</v>
      </c>
    </row>
    <row r="33" spans="2:9" ht="11.25">
      <c r="B33" s="151"/>
      <c r="C33" s="41"/>
      <c r="D33" s="161"/>
      <c r="E33" s="161"/>
      <c r="F33" s="41"/>
      <c r="G33" s="42"/>
      <c r="H33" s="42"/>
      <c r="I33" s="152"/>
    </row>
    <row r="34" spans="2:9" ht="11.25">
      <c r="B34" s="153" t="s">
        <v>104</v>
      </c>
      <c r="C34" s="121">
        <v>26803.19503342</v>
      </c>
      <c r="D34" s="162">
        <v>29835.450010949997</v>
      </c>
      <c r="E34" s="177">
        <v>30043.990124009993</v>
      </c>
      <c r="F34" s="121">
        <v>208.5401130599948</v>
      </c>
      <c r="G34" s="121">
        <v>3240.7950905899925</v>
      </c>
      <c r="H34" s="121">
        <v>0.6989675469398308</v>
      </c>
      <c r="I34" s="154">
        <v>12.09107752470985</v>
      </c>
    </row>
    <row r="35" spans="2:9" ht="11.25">
      <c r="B35" s="155" t="s">
        <v>51</v>
      </c>
      <c r="C35" s="122">
        <v>0</v>
      </c>
      <c r="D35" s="123">
        <v>0</v>
      </c>
      <c r="E35" s="178">
        <v>0</v>
      </c>
      <c r="F35" s="122">
        <v>0</v>
      </c>
      <c r="G35" s="122">
        <v>0</v>
      </c>
      <c r="H35" s="122">
        <v>0</v>
      </c>
      <c r="I35" s="156">
        <v>0</v>
      </c>
    </row>
    <row r="36" spans="2:9" ht="11.25">
      <c r="B36" s="155" t="s">
        <v>57</v>
      </c>
      <c r="C36" s="122">
        <v>9251.595447239999</v>
      </c>
      <c r="D36" s="123">
        <v>10179.543349130001</v>
      </c>
      <c r="E36" s="178">
        <v>10222.713276539998</v>
      </c>
      <c r="F36" s="122">
        <v>43.1699274099974</v>
      </c>
      <c r="G36" s="122">
        <v>971.1178292999994</v>
      </c>
      <c r="H36" s="122">
        <v>0.42408510803863253</v>
      </c>
      <c r="I36" s="156">
        <v>10.496760638076863</v>
      </c>
    </row>
    <row r="37" spans="2:9" ht="11.25">
      <c r="B37" s="157" t="s">
        <v>105</v>
      </c>
      <c r="C37" s="123">
        <v>7201.7444530699995</v>
      </c>
      <c r="D37" s="123">
        <v>7944.8825775000005</v>
      </c>
      <c r="E37" s="178">
        <v>8078.994289939999</v>
      </c>
      <c r="F37" s="123">
        <v>134.11171243999888</v>
      </c>
      <c r="G37" s="122">
        <v>877.2498368699999</v>
      </c>
      <c r="H37" s="122">
        <v>1.688026363282005</v>
      </c>
      <c r="I37" s="156">
        <v>12.18107421870601</v>
      </c>
    </row>
    <row r="38" spans="2:9" ht="11.25">
      <c r="B38" s="158" t="s">
        <v>106</v>
      </c>
      <c r="C38" s="108">
        <v>1459.151</v>
      </c>
      <c r="D38" s="108">
        <v>1638.691</v>
      </c>
      <c r="E38" s="179">
        <v>1595.165</v>
      </c>
      <c r="F38" s="169">
        <v>-43.52600000000007</v>
      </c>
      <c r="G38" s="122">
        <v>136.0139999999999</v>
      </c>
      <c r="H38" s="122">
        <v>-2.6561444470006896</v>
      </c>
      <c r="I38" s="156">
        <v>9.321447883049794</v>
      </c>
    </row>
    <row r="39" spans="2:9" ht="11.25">
      <c r="B39" s="158" t="s">
        <v>107</v>
      </c>
      <c r="C39" s="108">
        <v>2062.239466</v>
      </c>
      <c r="D39" s="108">
        <v>2488.78894549</v>
      </c>
      <c r="E39" s="179">
        <v>2647.84362238</v>
      </c>
      <c r="F39" s="169">
        <v>159.05467688999988</v>
      </c>
      <c r="G39" s="122">
        <v>585.60415638</v>
      </c>
      <c r="H39" s="122">
        <v>6.39084632621127</v>
      </c>
      <c r="I39" s="156">
        <v>28.39651582829324</v>
      </c>
    </row>
    <row r="40" spans="2:9" ht="11.25">
      <c r="B40" s="158" t="s">
        <v>108</v>
      </c>
      <c r="C40" s="108">
        <v>3680.3539870699997</v>
      </c>
      <c r="D40" s="108">
        <v>3817.4026320099997</v>
      </c>
      <c r="E40" s="179">
        <v>3835.98566756</v>
      </c>
      <c r="F40" s="108">
        <v>18.583035550000204</v>
      </c>
      <c r="G40" s="122">
        <v>155.63168049000024</v>
      </c>
      <c r="H40" s="122">
        <v>0.4867978922154084</v>
      </c>
      <c r="I40" s="156">
        <v>4.22871498330794</v>
      </c>
    </row>
    <row r="41" spans="2:9" ht="11.25">
      <c r="B41" s="157" t="s">
        <v>109</v>
      </c>
      <c r="C41" s="108">
        <v>1299.5594509999999</v>
      </c>
      <c r="D41" s="108">
        <v>1445.5529061500001</v>
      </c>
      <c r="E41" s="179">
        <v>1353.32012112</v>
      </c>
      <c r="F41" s="219">
        <v>-92.23278503000006</v>
      </c>
      <c r="G41" s="122">
        <v>53.76067012000021</v>
      </c>
      <c r="H41" s="122">
        <v>-6.380450320261705</v>
      </c>
      <c r="I41" s="156">
        <v>4.136838070673245</v>
      </c>
    </row>
    <row r="42" spans="2:9" ht="11.25">
      <c r="B42" s="157" t="s">
        <v>110</v>
      </c>
      <c r="C42" s="108">
        <v>40.75654317</v>
      </c>
      <c r="D42" s="108">
        <v>47.95886548</v>
      </c>
      <c r="E42" s="179">
        <v>46.89986548</v>
      </c>
      <c r="F42" s="219">
        <v>-1.0589999999999975</v>
      </c>
      <c r="G42" s="122">
        <v>6.143322310000002</v>
      </c>
      <c r="H42" s="122">
        <v>-2.20814230987517</v>
      </c>
      <c r="I42" s="156">
        <v>15.073217285321604</v>
      </c>
    </row>
    <row r="43" spans="2:10" ht="11.25">
      <c r="B43" s="157" t="s">
        <v>111</v>
      </c>
      <c r="C43" s="108">
        <v>709.535</v>
      </c>
      <c r="D43" s="108">
        <v>741.149</v>
      </c>
      <c r="E43" s="179">
        <v>743.499</v>
      </c>
      <c r="F43" s="108">
        <v>2.3500000000000227</v>
      </c>
      <c r="G43" s="122">
        <v>33.964000000000055</v>
      </c>
      <c r="H43" s="122">
        <v>0.3170752439792839</v>
      </c>
      <c r="I43" s="156">
        <v>4.786796986758942</v>
      </c>
      <c r="J43" s="56"/>
    </row>
    <row r="44" spans="2:11" ht="11.25">
      <c r="B44" s="155" t="s">
        <v>85</v>
      </c>
      <c r="C44" s="109">
        <v>17508.15658618</v>
      </c>
      <c r="D44" s="109">
        <v>19608.59366182</v>
      </c>
      <c r="E44" s="180">
        <v>19772.570847469997</v>
      </c>
      <c r="F44" s="109">
        <v>163.9771856499974</v>
      </c>
      <c r="G44" s="122">
        <v>2264.414261289996</v>
      </c>
      <c r="H44" s="122">
        <v>0.8362516378177507</v>
      </c>
      <c r="I44" s="156">
        <v>12.933481889677653</v>
      </c>
      <c r="J44" s="56"/>
      <c r="K44" s="56"/>
    </row>
    <row r="45" spans="2:9" ht="11.25">
      <c r="B45" s="157" t="s">
        <v>112</v>
      </c>
      <c r="C45" s="109">
        <v>14069.42825475</v>
      </c>
      <c r="D45" s="109">
        <v>15935.946935979999</v>
      </c>
      <c r="E45" s="180">
        <v>16055.501121629997</v>
      </c>
      <c r="F45" s="109">
        <v>119.55418564999854</v>
      </c>
      <c r="G45" s="122">
        <v>1986.0728668799966</v>
      </c>
      <c r="H45" s="122">
        <v>0.7502170164740601</v>
      </c>
      <c r="I45" s="156">
        <v>14.116230104869226</v>
      </c>
    </row>
    <row r="46" spans="2:9" ht="11.25">
      <c r="B46" s="158" t="s">
        <v>106</v>
      </c>
      <c r="C46" s="108">
        <v>11232.43367269</v>
      </c>
      <c r="D46" s="108">
        <v>12847.594205619998</v>
      </c>
      <c r="E46" s="179">
        <v>13132.047427099998</v>
      </c>
      <c r="F46" s="108">
        <v>284.45322148000014</v>
      </c>
      <c r="G46" s="122">
        <v>1899.6137544099984</v>
      </c>
      <c r="H46" s="122">
        <v>2.2140582659091934</v>
      </c>
      <c r="I46" s="156">
        <v>16.91186264494602</v>
      </c>
    </row>
    <row r="47" spans="2:9" ht="11.25">
      <c r="B47" s="158" t="s">
        <v>113</v>
      </c>
      <c r="C47" s="108">
        <v>1714.7214990299997</v>
      </c>
      <c r="D47" s="108">
        <v>1936.0070523000002</v>
      </c>
      <c r="E47" s="179">
        <v>1830.44988013</v>
      </c>
      <c r="F47" s="169">
        <v>-105.55717217000006</v>
      </c>
      <c r="G47" s="122">
        <v>115.72838110000043</v>
      </c>
      <c r="H47" s="122">
        <v>-5.452313412009365</v>
      </c>
      <c r="I47" s="156">
        <v>6.749106555523261</v>
      </c>
    </row>
    <row r="48" spans="2:10" ht="11.25">
      <c r="B48" s="158" t="s">
        <v>108</v>
      </c>
      <c r="C48" s="108">
        <v>1122.27308303</v>
      </c>
      <c r="D48" s="108">
        <v>1152.34567806</v>
      </c>
      <c r="E48" s="179">
        <v>1093.0038144</v>
      </c>
      <c r="F48" s="219">
        <v>-59.341863659999945</v>
      </c>
      <c r="G48" s="122">
        <v>-29.269268629999942</v>
      </c>
      <c r="H48" s="122">
        <v>-5.149658196306452</v>
      </c>
      <c r="I48" s="156">
        <v>-2.6080344501336965</v>
      </c>
      <c r="J48" s="56"/>
    </row>
    <row r="49" spans="2:9" ht="11.25">
      <c r="B49" s="157" t="s">
        <v>109</v>
      </c>
      <c r="C49" s="108">
        <v>3035.77822512</v>
      </c>
      <c r="D49" s="108">
        <v>3238.5439785099998</v>
      </c>
      <c r="E49" s="179">
        <v>3280.41297851</v>
      </c>
      <c r="F49" s="108">
        <v>41.86900000000014</v>
      </c>
      <c r="G49" s="122">
        <v>244.6347533899998</v>
      </c>
      <c r="H49" s="122">
        <v>1.2928340722815619</v>
      </c>
      <c r="I49" s="156">
        <v>8.058386853352232</v>
      </c>
    </row>
    <row r="50" spans="2:9" ht="11.25">
      <c r="B50" s="157" t="s">
        <v>110</v>
      </c>
      <c r="C50" s="108">
        <v>67.24710631</v>
      </c>
      <c r="D50" s="108">
        <v>72.97674733</v>
      </c>
      <c r="E50" s="179">
        <v>74.77174733</v>
      </c>
      <c r="F50" s="108">
        <v>1.7950000000000017</v>
      </c>
      <c r="G50" s="122">
        <v>7.52464101999999</v>
      </c>
      <c r="H50" s="122">
        <v>2.45968759320422</v>
      </c>
      <c r="I50" s="156">
        <v>11.189538751767875</v>
      </c>
    </row>
    <row r="51" spans="2:9" ht="11.25">
      <c r="B51" s="157" t="s">
        <v>111</v>
      </c>
      <c r="C51" s="108">
        <v>335.703</v>
      </c>
      <c r="D51" s="108">
        <v>361.126</v>
      </c>
      <c r="E51" s="179">
        <v>361.885</v>
      </c>
      <c r="F51" s="108">
        <v>0.7590000000000146</v>
      </c>
      <c r="G51" s="122">
        <v>26.182000000000016</v>
      </c>
      <c r="H51" s="122">
        <v>0.2101759496685408</v>
      </c>
      <c r="I51" s="156">
        <v>7.799155801407798</v>
      </c>
    </row>
    <row r="52" spans="2:9" ht="12" thickBot="1">
      <c r="B52" s="159" t="s">
        <v>114</v>
      </c>
      <c r="C52" s="124">
        <v>43.443</v>
      </c>
      <c r="D52" s="163">
        <v>47.313</v>
      </c>
      <c r="E52" s="181">
        <v>48.705999999999996</v>
      </c>
      <c r="F52" s="124">
        <v>1.3929999999999936</v>
      </c>
      <c r="G52" s="125">
        <v>5.262999999999998</v>
      </c>
      <c r="H52" s="125">
        <v>2.9442225181239694</v>
      </c>
      <c r="I52" s="160">
        <v>12.114725042009065</v>
      </c>
    </row>
    <row r="53" ht="11.25">
      <c r="B53" s="66" t="s">
        <v>128</v>
      </c>
    </row>
  </sheetData>
  <sheetProtection/>
  <mergeCells count="9">
    <mergeCell ref="F31:G31"/>
    <mergeCell ref="H31:I31"/>
    <mergeCell ref="B30:I30"/>
    <mergeCell ref="B2:I2"/>
    <mergeCell ref="B18:I18"/>
    <mergeCell ref="F3:G3"/>
    <mergeCell ref="H3:I3"/>
    <mergeCell ref="F19:G19"/>
    <mergeCell ref="H19:I19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49"/>
  <sheetViews>
    <sheetView showGridLines="0" zoomScale="80" zoomScaleNormal="80" zoomScalePageLayoutView="0" workbookViewId="0" topLeftCell="A32">
      <selection activeCell="A1" sqref="A1:O49"/>
    </sheetView>
  </sheetViews>
  <sheetFormatPr defaultColWidth="9.140625" defaultRowHeight="12"/>
  <cols>
    <col min="1" max="16384" width="9.28125" style="1" customWidth="1"/>
  </cols>
  <sheetData>
    <row r="2" spans="2:13" ht="15.75">
      <c r="B2" s="229" t="s">
        <v>146</v>
      </c>
      <c r="C2" s="230"/>
      <c r="D2" s="230"/>
      <c r="E2" s="230"/>
      <c r="F2" s="230"/>
      <c r="G2" s="230"/>
      <c r="H2" s="230"/>
      <c r="I2" s="230"/>
      <c r="J2" s="230"/>
      <c r="K2" s="230"/>
      <c r="L2" s="231"/>
      <c r="M2" s="231"/>
    </row>
    <row r="3" spans="2:13" ht="15.75"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5"/>
      <c r="M3" s="185"/>
    </row>
    <row r="4" spans="1:14" ht="1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ht="1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ht="1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ht="1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ht="1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ht="1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1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1:14" ht="1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1:14" ht="1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4" ht="1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1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1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1:14" ht="1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  <row r="19" spans="1:14" ht="1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4" ht="1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ht="1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ht="15">
      <c r="D22" s="127"/>
    </row>
    <row r="26" spans="1:12" ht="15.75">
      <c r="A26" s="229"/>
      <c r="B26" s="230"/>
      <c r="C26" s="230"/>
      <c r="D26" s="230"/>
      <c r="E26" s="230"/>
      <c r="F26" s="230"/>
      <c r="G26" s="230"/>
      <c r="H26" s="230"/>
      <c r="I26" s="230"/>
      <c r="J26" s="230"/>
      <c r="K26" s="231"/>
      <c r="L26" s="231"/>
    </row>
    <row r="28" spans="2:13" ht="15.75">
      <c r="B28" s="229" t="s">
        <v>155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1"/>
      <c r="M28" s="231"/>
    </row>
    <row r="29" spans="2:12" ht="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2:17" ht="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Q30" s="15"/>
    </row>
    <row r="31" spans="2:12" ht="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2:12" ht="1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2:12" ht="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1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2" ht="1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2:12" ht="1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2:12" ht="1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2:12" ht="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2:12" ht="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1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ht="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2:12" ht="1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2:12" ht="15">
      <c r="B47" s="115" t="s">
        <v>99</v>
      </c>
      <c r="C47" s="115"/>
      <c r="D47" s="115"/>
      <c r="E47" s="115"/>
      <c r="F47" s="25"/>
      <c r="G47" s="25"/>
      <c r="H47" s="25"/>
      <c r="I47" s="25"/>
      <c r="J47" s="25"/>
      <c r="K47" s="25"/>
      <c r="L47" s="25"/>
    </row>
    <row r="48" spans="2:5" ht="15">
      <c r="B48" s="115" t="s">
        <v>156</v>
      </c>
      <c r="C48" s="115"/>
      <c r="D48" s="115"/>
      <c r="E48" s="115"/>
    </row>
    <row r="49" spans="2:5" ht="15">
      <c r="B49" s="25"/>
      <c r="C49" s="25"/>
      <c r="D49" s="25"/>
      <c r="E49" s="25"/>
    </row>
  </sheetData>
  <sheetProtection/>
  <mergeCells count="3">
    <mergeCell ref="B2:M2"/>
    <mergeCell ref="A26:L26"/>
    <mergeCell ref="B28:M28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85"/>
  <sheetViews>
    <sheetView showGridLines="0" tabSelected="1" zoomScale="75" zoomScaleNormal="75" zoomScaleSheetLayoutView="75" zoomScalePageLayoutView="0" workbookViewId="0" topLeftCell="A70">
      <selection activeCell="D83" sqref="D83"/>
    </sheetView>
  </sheetViews>
  <sheetFormatPr defaultColWidth="9.140625" defaultRowHeight="12"/>
  <cols>
    <col min="1" max="1" width="82.8515625" style="2" customWidth="1"/>
    <col min="2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3" t="s">
        <v>46</v>
      </c>
    </row>
    <row r="2" spans="1:5" ht="12.75" thickBot="1">
      <c r="A2" s="3" t="s">
        <v>2</v>
      </c>
      <c r="B2" s="53">
        <v>39323</v>
      </c>
      <c r="C2" s="53">
        <v>39355</v>
      </c>
      <c r="D2" s="53">
        <v>39356</v>
      </c>
      <c r="E2" s="4"/>
    </row>
    <row r="3" spans="1:5" ht="12">
      <c r="A3" s="5"/>
      <c r="B3" s="35"/>
      <c r="C3" s="35"/>
      <c r="D3" s="35"/>
      <c r="E3" s="4"/>
    </row>
    <row r="4" spans="1:5" ht="12">
      <c r="A4" s="5" t="s">
        <v>3</v>
      </c>
      <c r="B4" s="36">
        <v>10</v>
      </c>
      <c r="C4" s="36">
        <v>10</v>
      </c>
      <c r="D4" s="36">
        <v>10.5</v>
      </c>
      <c r="E4" s="4"/>
    </row>
    <row r="5" spans="1:5" ht="12">
      <c r="A5" s="5"/>
      <c r="B5" s="36"/>
      <c r="C5" s="36"/>
      <c r="D5" s="36"/>
      <c r="E5" s="4"/>
    </row>
    <row r="6" spans="1:5" ht="12">
      <c r="A6" s="5" t="s">
        <v>41</v>
      </c>
      <c r="B6" s="36">
        <v>14.75</v>
      </c>
      <c r="C6" s="36">
        <v>14.75</v>
      </c>
      <c r="D6" s="36">
        <v>15.25</v>
      </c>
      <c r="E6" s="4"/>
    </row>
    <row r="7" spans="1:5" ht="12">
      <c r="A7" s="5"/>
      <c r="B7" s="36"/>
      <c r="C7" s="36"/>
      <c r="D7" s="36"/>
      <c r="E7" s="4"/>
    </row>
    <row r="8" spans="1:5" ht="12">
      <c r="A8" s="5" t="s">
        <v>4</v>
      </c>
      <c r="B8" s="36">
        <v>14.75</v>
      </c>
      <c r="C8" s="36">
        <v>14.75</v>
      </c>
      <c r="D8" s="36">
        <v>15.25</v>
      </c>
      <c r="E8" s="4"/>
    </row>
    <row r="9" spans="1:5" ht="12">
      <c r="A9" s="5"/>
      <c r="B9" s="36"/>
      <c r="C9" s="36"/>
      <c r="D9" s="36"/>
      <c r="E9" s="4"/>
    </row>
    <row r="10" spans="1:5" ht="12">
      <c r="A10" s="5" t="s">
        <v>131</v>
      </c>
      <c r="B10" s="36">
        <v>12.85</v>
      </c>
      <c r="C10" s="36">
        <v>12.89</v>
      </c>
      <c r="D10" s="59" t="s">
        <v>169</v>
      </c>
      <c r="E10" s="4"/>
    </row>
    <row r="11" spans="1:5" ht="12">
      <c r="A11" s="5"/>
      <c r="B11" s="36"/>
      <c r="C11" s="36"/>
      <c r="D11" s="36"/>
      <c r="E11" s="4"/>
    </row>
    <row r="12" spans="1:5" ht="12">
      <c r="A12" s="5" t="s">
        <v>5</v>
      </c>
      <c r="B12" s="36">
        <v>7.68</v>
      </c>
      <c r="C12" s="36">
        <v>7.74</v>
      </c>
      <c r="D12" s="59" t="s">
        <v>169</v>
      </c>
      <c r="E12" s="4"/>
    </row>
    <row r="13" spans="1:5" ht="12">
      <c r="A13" s="5"/>
      <c r="B13" s="36"/>
      <c r="C13" s="36"/>
      <c r="D13" s="36"/>
      <c r="E13" s="4"/>
    </row>
    <row r="14" spans="1:5" ht="12">
      <c r="A14" s="6" t="s">
        <v>6</v>
      </c>
      <c r="B14" s="36"/>
      <c r="C14" s="36"/>
      <c r="D14" s="36"/>
      <c r="E14" s="4"/>
    </row>
    <row r="15" spans="1:4" ht="12">
      <c r="A15" s="5"/>
      <c r="B15" s="36"/>
      <c r="C15" s="36"/>
      <c r="D15" s="36"/>
    </row>
    <row r="16" spans="1:4" ht="12">
      <c r="A16" s="5" t="s">
        <v>7</v>
      </c>
      <c r="B16" s="36">
        <v>8.98</v>
      </c>
      <c r="C16" s="36">
        <v>9.24</v>
      </c>
      <c r="D16" s="59">
        <v>9.16</v>
      </c>
    </row>
    <row r="17" spans="1:4" ht="12">
      <c r="A17" s="5" t="s">
        <v>40</v>
      </c>
      <c r="B17" s="36">
        <v>9.51</v>
      </c>
      <c r="C17" s="36">
        <v>9.8</v>
      </c>
      <c r="D17" s="59">
        <v>9.71</v>
      </c>
    </row>
    <row r="18" spans="1:4" ht="12">
      <c r="A18" s="5" t="s">
        <v>8</v>
      </c>
      <c r="B18" s="59">
        <v>100</v>
      </c>
      <c r="C18" s="59">
        <v>150</v>
      </c>
      <c r="D18" s="59">
        <v>50</v>
      </c>
    </row>
    <row r="19" spans="1:4" ht="12">
      <c r="A19" s="5" t="s">
        <v>9</v>
      </c>
      <c r="B19" s="59">
        <v>100</v>
      </c>
      <c r="C19" s="59">
        <v>150</v>
      </c>
      <c r="D19" s="59">
        <v>50</v>
      </c>
    </row>
    <row r="20" spans="1:4" ht="12">
      <c r="A20" s="5"/>
      <c r="B20" s="36"/>
      <c r="C20" s="36"/>
      <c r="D20" s="36"/>
    </row>
    <row r="21" spans="1:4" ht="12">
      <c r="A21" s="6" t="s">
        <v>10</v>
      </c>
      <c r="B21" s="36"/>
      <c r="C21" s="36"/>
      <c r="D21" s="36"/>
    </row>
    <row r="22" spans="1:4" ht="12">
      <c r="A22" s="5"/>
      <c r="B22" s="36"/>
      <c r="C22" s="36"/>
      <c r="D22" s="36"/>
    </row>
    <row r="23" spans="1:4" ht="12">
      <c r="A23" s="5" t="s">
        <v>7</v>
      </c>
      <c r="B23" s="59">
        <v>9.13</v>
      </c>
      <c r="C23" s="59">
        <v>9.29</v>
      </c>
      <c r="D23" s="59" t="s">
        <v>169</v>
      </c>
    </row>
    <row r="24" spans="1:4" ht="12">
      <c r="A24" s="5" t="s">
        <v>39</v>
      </c>
      <c r="B24" s="36">
        <v>9.79</v>
      </c>
      <c r="C24" s="36">
        <v>9.98</v>
      </c>
      <c r="D24" s="59" t="s">
        <v>169</v>
      </c>
    </row>
    <row r="25" spans="1:4" ht="12">
      <c r="A25" s="5" t="s">
        <v>8</v>
      </c>
      <c r="B25" s="59">
        <v>320</v>
      </c>
      <c r="C25" s="59">
        <v>100</v>
      </c>
      <c r="D25" s="59" t="s">
        <v>169</v>
      </c>
    </row>
    <row r="26" spans="1:4" ht="12">
      <c r="A26" s="5" t="s">
        <v>9</v>
      </c>
      <c r="B26" s="59">
        <v>320</v>
      </c>
      <c r="C26" s="59">
        <v>100</v>
      </c>
      <c r="D26" s="59" t="s">
        <v>169</v>
      </c>
    </row>
    <row r="27" spans="1:4" ht="12">
      <c r="A27" s="5"/>
      <c r="B27" s="36"/>
      <c r="C27" s="36"/>
      <c r="D27" s="36"/>
    </row>
    <row r="28" spans="1:4" ht="12">
      <c r="A28" s="6" t="s">
        <v>42</v>
      </c>
      <c r="B28" s="36"/>
      <c r="C28" s="36"/>
      <c r="D28" s="36"/>
    </row>
    <row r="29" spans="1:4" ht="12">
      <c r="A29" s="5"/>
      <c r="B29" s="55"/>
      <c r="C29" s="55"/>
      <c r="D29" s="55"/>
    </row>
    <row r="30" spans="1:4" ht="12">
      <c r="A30" s="5" t="s">
        <v>7</v>
      </c>
      <c r="B30" s="59">
        <v>9.01</v>
      </c>
      <c r="C30" s="59">
        <v>9.29</v>
      </c>
      <c r="D30" s="59">
        <v>9.16</v>
      </c>
    </row>
    <row r="31" spans="1:4" ht="12">
      <c r="A31" s="5" t="s">
        <v>39</v>
      </c>
      <c r="B31" s="59">
        <v>9.91</v>
      </c>
      <c r="C31" s="59">
        <v>10.19</v>
      </c>
      <c r="D31" s="59">
        <v>10.09</v>
      </c>
    </row>
    <row r="32" spans="1:4" ht="12">
      <c r="A32" s="5" t="s">
        <v>8</v>
      </c>
      <c r="B32" s="59">
        <v>50</v>
      </c>
      <c r="C32" s="59">
        <v>250</v>
      </c>
      <c r="D32" s="59">
        <v>50</v>
      </c>
    </row>
    <row r="33" spans="1:4" ht="12">
      <c r="A33" s="5" t="s">
        <v>9</v>
      </c>
      <c r="B33" s="36">
        <v>150</v>
      </c>
      <c r="C33" s="36">
        <v>500</v>
      </c>
      <c r="D33" s="59">
        <v>50</v>
      </c>
    </row>
    <row r="34" spans="1:4" ht="12">
      <c r="A34" s="5"/>
      <c r="B34" s="36"/>
      <c r="C34" s="36"/>
      <c r="D34" s="36"/>
    </row>
    <row r="35" spans="1:4" ht="12">
      <c r="A35" s="5"/>
      <c r="B35" s="36"/>
      <c r="C35" s="36"/>
      <c r="D35" s="36"/>
    </row>
    <row r="36" spans="1:4" ht="12">
      <c r="A36" s="5"/>
      <c r="B36" s="36"/>
      <c r="C36" s="36"/>
      <c r="D36" s="36"/>
    </row>
    <row r="37" spans="1:4" ht="12">
      <c r="A37" s="6" t="s">
        <v>43</v>
      </c>
      <c r="B37" s="36">
        <v>3499.99</v>
      </c>
      <c r="C37" s="36">
        <v>3249.99</v>
      </c>
      <c r="D37" s="59">
        <v>3249.99</v>
      </c>
    </row>
    <row r="38" spans="1:4" ht="12">
      <c r="A38" s="5"/>
      <c r="B38" s="36"/>
      <c r="C38" s="36"/>
      <c r="D38" s="36"/>
    </row>
    <row r="39" spans="1:4" ht="12">
      <c r="A39" s="5"/>
      <c r="B39" s="33"/>
      <c r="C39" s="33"/>
      <c r="D39" s="33"/>
    </row>
    <row r="40" spans="1:4" ht="12.75" thickBot="1">
      <c r="A40" s="5"/>
      <c r="B40" s="129"/>
      <c r="C40" s="129"/>
      <c r="D40" s="129"/>
    </row>
    <row r="41" spans="1:4" ht="12.75" thickBot="1">
      <c r="A41" s="3" t="s">
        <v>11</v>
      </c>
      <c r="B41" s="53">
        <v>39323</v>
      </c>
      <c r="C41" s="53">
        <v>39355</v>
      </c>
      <c r="D41" s="53">
        <v>39385</v>
      </c>
    </row>
    <row r="42" spans="1:4" ht="12">
      <c r="A42" s="5"/>
      <c r="B42" s="130"/>
      <c r="C42" s="130"/>
      <c r="D42" s="130"/>
    </row>
    <row r="43" spans="1:4" ht="12">
      <c r="A43" s="6" t="s">
        <v>12</v>
      </c>
      <c r="B43" s="33"/>
      <c r="C43" s="33"/>
      <c r="D43" s="33"/>
    </row>
    <row r="44" spans="1:4" ht="12">
      <c r="A44" s="7" t="s">
        <v>102</v>
      </c>
      <c r="B44" s="33"/>
      <c r="C44" s="33"/>
      <c r="D44" s="33"/>
    </row>
    <row r="45" spans="1:4" ht="12">
      <c r="A45" s="5" t="s">
        <v>13</v>
      </c>
      <c r="B45" s="54">
        <v>8.82</v>
      </c>
      <c r="C45" s="54">
        <v>8.82</v>
      </c>
      <c r="D45" s="54">
        <v>8.82</v>
      </c>
    </row>
    <row r="46" spans="1:4" ht="12">
      <c r="A46" s="5" t="s">
        <v>8</v>
      </c>
      <c r="B46" s="54">
        <v>8</v>
      </c>
      <c r="C46" s="54">
        <v>8</v>
      </c>
      <c r="D46" s="54">
        <v>8</v>
      </c>
    </row>
    <row r="47" spans="1:4" ht="12">
      <c r="A47" s="5" t="s">
        <v>9</v>
      </c>
      <c r="B47" s="54">
        <v>0</v>
      </c>
      <c r="C47" s="54">
        <v>0</v>
      </c>
      <c r="D47" s="54">
        <v>0</v>
      </c>
    </row>
    <row r="48" spans="1:4" ht="12">
      <c r="A48" s="5"/>
      <c r="B48" s="36"/>
      <c r="C48" s="36"/>
      <c r="D48" s="36"/>
    </row>
    <row r="49" spans="1:4" ht="12">
      <c r="A49" s="5" t="s">
        <v>14</v>
      </c>
      <c r="B49" s="59">
        <v>5781.99</v>
      </c>
      <c r="C49" s="59">
        <v>5781.99</v>
      </c>
      <c r="D49" s="59">
        <v>5781.99</v>
      </c>
    </row>
    <row r="50" spans="1:4" ht="12.75" thickBot="1">
      <c r="A50" s="5"/>
      <c r="B50" s="129"/>
      <c r="C50" s="129"/>
      <c r="D50" s="129"/>
    </row>
    <row r="51" spans="1:4" ht="12.75" thickBot="1">
      <c r="A51" s="3" t="s">
        <v>15</v>
      </c>
      <c r="B51" s="53">
        <v>39323</v>
      </c>
      <c r="C51" s="53">
        <v>39355</v>
      </c>
      <c r="D51" s="53">
        <v>39385</v>
      </c>
    </row>
    <row r="52" spans="1:4" ht="12">
      <c r="A52" s="5"/>
      <c r="B52" s="130"/>
      <c r="C52" s="130"/>
      <c r="D52" s="130"/>
    </row>
    <row r="53" spans="1:4" ht="12">
      <c r="A53" s="6" t="s">
        <v>16</v>
      </c>
      <c r="B53" s="33"/>
      <c r="C53" s="33"/>
      <c r="D53" s="33"/>
    </row>
    <row r="54" spans="1:4" ht="12">
      <c r="A54" s="5"/>
      <c r="B54" s="33"/>
      <c r="C54" s="33"/>
      <c r="D54" s="33"/>
    </row>
    <row r="55" spans="1:5" ht="12">
      <c r="A55" s="5" t="s">
        <v>17</v>
      </c>
      <c r="B55" s="58">
        <v>17.93</v>
      </c>
      <c r="C55" s="58">
        <v>16.54</v>
      </c>
      <c r="D55" s="58">
        <v>19.44</v>
      </c>
      <c r="E55" s="8"/>
    </row>
    <row r="56" spans="1:10" ht="12">
      <c r="A56" s="5" t="s">
        <v>18</v>
      </c>
      <c r="B56" s="57">
        <v>1075</v>
      </c>
      <c r="C56" s="57">
        <v>868.55</v>
      </c>
      <c r="D56" s="57">
        <v>646.76</v>
      </c>
      <c r="E56" s="8"/>
      <c r="H56" s="9"/>
      <c r="J56" s="9"/>
    </row>
    <row r="57" spans="1:5" ht="12">
      <c r="A57" s="5" t="s">
        <v>19</v>
      </c>
      <c r="B57" s="57">
        <v>927.09</v>
      </c>
      <c r="C57" s="57">
        <v>971.91</v>
      </c>
      <c r="D57" s="57">
        <v>1016.22</v>
      </c>
      <c r="E57" s="10"/>
    </row>
    <row r="58" spans="1:5" ht="12">
      <c r="A58" s="5" t="s">
        <v>20</v>
      </c>
      <c r="B58" s="57">
        <v>1200.15</v>
      </c>
      <c r="C58" s="57">
        <v>1248.29</v>
      </c>
      <c r="D58" s="57">
        <v>1312.02</v>
      </c>
      <c r="E58" s="10"/>
    </row>
    <row r="59" spans="1:5" ht="12">
      <c r="A59" s="5" t="s">
        <v>21</v>
      </c>
      <c r="B59" s="57">
        <v>563.12</v>
      </c>
      <c r="C59" s="57">
        <v>627.7</v>
      </c>
      <c r="D59" s="57">
        <v>616.26</v>
      </c>
      <c r="E59" s="10"/>
    </row>
    <row r="60" spans="1:10" ht="12">
      <c r="A60" s="5" t="s">
        <v>22</v>
      </c>
      <c r="B60" s="57">
        <v>566.52</v>
      </c>
      <c r="C60" s="57">
        <v>547.25</v>
      </c>
      <c r="D60" s="57">
        <v>618.73</v>
      </c>
      <c r="E60" s="10"/>
      <c r="H60" s="9"/>
      <c r="J60" s="9"/>
    </row>
    <row r="61" spans="1:10" ht="12">
      <c r="A61" s="5" t="s">
        <v>23</v>
      </c>
      <c r="B61" s="57">
        <v>25.51</v>
      </c>
      <c r="C61" s="57">
        <v>27.16</v>
      </c>
      <c r="D61" s="57">
        <v>26.56</v>
      </c>
      <c r="E61" s="10"/>
      <c r="H61" s="9"/>
      <c r="J61" s="9"/>
    </row>
    <row r="62" spans="1:4" ht="12">
      <c r="A62" s="5" t="s">
        <v>24</v>
      </c>
      <c r="B62" s="57">
        <v>42.71</v>
      </c>
      <c r="C62" s="57">
        <v>43.53</v>
      </c>
      <c r="D62" s="57">
        <v>47.53</v>
      </c>
    </row>
    <row r="63" spans="1:4" ht="12">
      <c r="A63" s="5" t="s">
        <v>25</v>
      </c>
      <c r="B63" s="57">
        <v>2.11</v>
      </c>
      <c r="C63" s="57">
        <v>2.65</v>
      </c>
      <c r="D63" s="57">
        <v>2.93</v>
      </c>
    </row>
    <row r="64" spans="1:4" ht="12">
      <c r="A64" s="5"/>
      <c r="B64" s="33"/>
      <c r="C64" s="33"/>
      <c r="D64" s="33"/>
    </row>
    <row r="65" spans="1:4" ht="12">
      <c r="A65" s="6" t="s">
        <v>26</v>
      </c>
      <c r="B65" s="33"/>
      <c r="C65" s="33"/>
      <c r="D65" s="33"/>
    </row>
    <row r="66" spans="1:5" ht="12">
      <c r="A66" s="5"/>
      <c r="B66" s="33"/>
      <c r="C66" s="33"/>
      <c r="D66" s="33"/>
      <c r="E66" s="8"/>
    </row>
    <row r="67" spans="1:5" ht="12">
      <c r="A67" s="5" t="s">
        <v>17</v>
      </c>
      <c r="B67" s="36">
        <v>380.16</v>
      </c>
      <c r="C67" s="36">
        <v>499.06</v>
      </c>
      <c r="D67" s="36">
        <v>7431.25</v>
      </c>
      <c r="E67" s="8"/>
    </row>
    <row r="68" spans="1:5" ht="12">
      <c r="A68" s="5" t="s">
        <v>18</v>
      </c>
      <c r="B68" s="36">
        <v>2.71</v>
      </c>
      <c r="C68" s="36">
        <v>2.06</v>
      </c>
      <c r="D68" s="36">
        <v>63.9</v>
      </c>
      <c r="E68" s="9"/>
    </row>
    <row r="69" spans="1:5" ht="12">
      <c r="A69" s="5" t="s">
        <v>19</v>
      </c>
      <c r="B69" s="36">
        <v>108.88</v>
      </c>
      <c r="C69" s="36">
        <v>116.02</v>
      </c>
      <c r="D69" s="36">
        <v>129.33</v>
      </c>
      <c r="E69" s="9"/>
    </row>
    <row r="70" spans="1:5" ht="12">
      <c r="A70" s="5" t="s">
        <v>20</v>
      </c>
      <c r="B70" s="59">
        <v>4.04</v>
      </c>
      <c r="C70" s="59">
        <v>4.3</v>
      </c>
      <c r="D70" s="59">
        <v>4.59</v>
      </c>
      <c r="E70" s="9"/>
    </row>
    <row r="71" spans="1:5" ht="12">
      <c r="A71" s="5" t="s">
        <v>21</v>
      </c>
      <c r="B71" s="36">
        <v>0</v>
      </c>
      <c r="C71" s="36">
        <v>0</v>
      </c>
      <c r="D71" s="36">
        <v>0</v>
      </c>
      <c r="E71" s="9"/>
    </row>
    <row r="72" spans="1:5" ht="12">
      <c r="A72" s="5" t="s">
        <v>22</v>
      </c>
      <c r="B72" s="36">
        <v>3.29</v>
      </c>
      <c r="C72" s="36">
        <v>3.52</v>
      </c>
      <c r="D72" s="36">
        <v>3.68</v>
      </c>
      <c r="E72" s="9"/>
    </row>
    <row r="73" spans="1:4" ht="12">
      <c r="A73" s="5" t="s">
        <v>23</v>
      </c>
      <c r="B73" s="36">
        <v>0.72</v>
      </c>
      <c r="C73" s="36">
        <v>0.74</v>
      </c>
      <c r="D73" s="36">
        <v>0.88</v>
      </c>
    </row>
    <row r="74" spans="1:4" ht="12">
      <c r="A74" s="5" t="s">
        <v>24</v>
      </c>
      <c r="B74" s="36">
        <v>0.03</v>
      </c>
      <c r="C74" s="36">
        <v>0.03</v>
      </c>
      <c r="D74" s="36">
        <v>0.03</v>
      </c>
    </row>
    <row r="75" spans="1:4" ht="12">
      <c r="A75" s="5" t="s">
        <v>25</v>
      </c>
      <c r="B75" s="36">
        <v>0</v>
      </c>
      <c r="C75" s="36">
        <v>0</v>
      </c>
      <c r="D75" s="36">
        <v>0</v>
      </c>
    </row>
    <row r="76" spans="1:4" ht="12.75" thickBot="1">
      <c r="A76" s="5"/>
      <c r="B76" s="131"/>
      <c r="C76" s="131"/>
      <c r="D76" s="131"/>
    </row>
    <row r="77" spans="1:4" ht="12.75" thickBot="1">
      <c r="A77" s="3" t="s">
        <v>101</v>
      </c>
      <c r="B77" s="53">
        <v>39323</v>
      </c>
      <c r="C77" s="53">
        <v>39355</v>
      </c>
      <c r="D77" s="53">
        <v>39356</v>
      </c>
    </row>
    <row r="78" spans="1:4" ht="12">
      <c r="A78" s="5"/>
      <c r="B78" s="130"/>
      <c r="C78" s="130"/>
      <c r="D78" s="130"/>
    </row>
    <row r="79" spans="1:4" ht="12">
      <c r="A79" s="5"/>
      <c r="B79" s="33"/>
      <c r="C79" s="33"/>
      <c r="D79" s="33"/>
    </row>
    <row r="80" spans="1:4" ht="12">
      <c r="A80" s="5" t="s">
        <v>27</v>
      </c>
      <c r="B80" s="55">
        <v>6.8</v>
      </c>
      <c r="C80" s="55">
        <v>6.7</v>
      </c>
      <c r="D80" s="128">
        <v>6.6</v>
      </c>
    </row>
    <row r="81" spans="1:4" ht="12">
      <c r="A81" s="5" t="s">
        <v>28</v>
      </c>
      <c r="B81" s="128">
        <v>4.9</v>
      </c>
      <c r="C81" s="128">
        <v>5.4</v>
      </c>
      <c r="D81" s="128">
        <v>6</v>
      </c>
    </row>
    <row r="82" spans="1:4" ht="12.75" thickBot="1">
      <c r="A82" s="11" t="s">
        <v>29</v>
      </c>
      <c r="B82" s="61">
        <v>0.6</v>
      </c>
      <c r="C82" s="61">
        <v>0.5</v>
      </c>
      <c r="D82" s="61">
        <v>0.5</v>
      </c>
    </row>
    <row r="83" ht="12">
      <c r="A83" s="2" t="s">
        <v>140</v>
      </c>
    </row>
    <row r="84" ht="12">
      <c r="A84" s="2" t="s">
        <v>154</v>
      </c>
    </row>
    <row r="85" ht="12">
      <c r="A85" s="2" t="s">
        <v>170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86"/>
  <sheetViews>
    <sheetView showGridLines="0" zoomScale="70" zoomScaleNormal="70" zoomScaleSheetLayoutView="75" zoomScalePageLayoutView="0" workbookViewId="0" topLeftCell="B8">
      <selection activeCell="B3" sqref="A3:R84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236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3:13" ht="15.75"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7" ht="18">
      <c r="A4" s="15"/>
      <c r="B4" s="15"/>
      <c r="C4" s="233" t="s">
        <v>142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15"/>
      <c r="O4" s="15"/>
      <c r="P4" s="15"/>
      <c r="Q4" s="15"/>
    </row>
    <row r="5" spans="1:17" ht="18">
      <c r="A5" s="15"/>
      <c r="B5" s="15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5"/>
      <c r="O5" s="15"/>
      <c r="P5" s="15"/>
      <c r="Q5" s="15"/>
    </row>
    <row r="6" spans="1:17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5.7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15"/>
      <c r="M7" s="15"/>
      <c r="N7" s="15"/>
      <c r="O7" s="15"/>
      <c r="P7" s="15"/>
      <c r="Q7" s="15"/>
    </row>
    <row r="8" spans="1:17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07"/>
      <c r="P8" s="15"/>
      <c r="Q8" s="15"/>
    </row>
    <row r="9" spans="1:17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15"/>
      <c r="C27" s="165" t="s">
        <v>135</v>
      </c>
      <c r="D27" s="116"/>
      <c r="E27" s="10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15"/>
      <c r="B28" s="16"/>
      <c r="C28" s="106"/>
      <c r="D28" s="107"/>
      <c r="E28" s="10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">
      <c r="A30" s="15"/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">
      <c r="A31" s="233" t="s">
        <v>143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15"/>
      <c r="M31" s="15"/>
      <c r="N31" s="15"/>
      <c r="O31" s="15"/>
      <c r="P31" s="15"/>
      <c r="Q31" s="15"/>
    </row>
    <row r="32" spans="1:17" ht="18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5"/>
      <c r="M32" s="15"/>
      <c r="N32" s="15"/>
      <c r="O32" s="15"/>
      <c r="P32" s="15"/>
      <c r="Q32" s="15"/>
    </row>
    <row r="33" spans="1:17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">
      <c r="A49" s="15"/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">
      <c r="A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15"/>
      <c r="B54" s="16"/>
      <c r="D54" s="1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">
      <c r="A55" s="15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">
      <c r="A56" s="15"/>
      <c r="B56" s="16"/>
      <c r="C56" s="164" t="s">
        <v>134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2:17" ht="15">
      <c r="L57" s="15"/>
      <c r="M57" s="15"/>
      <c r="N57" s="15"/>
      <c r="O57" s="15"/>
      <c r="P57" s="15"/>
      <c r="Q57" s="15"/>
    </row>
    <row r="58" spans="1:17" ht="15">
      <c r="A58" s="15"/>
      <c r="B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8">
      <c r="A60" s="15"/>
      <c r="B60" s="15"/>
      <c r="C60" s="234" t="s">
        <v>144</v>
      </c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15"/>
      <c r="O60" s="15"/>
      <c r="P60" s="15"/>
      <c r="Q60" s="15"/>
    </row>
    <row r="61" spans="1:17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ht="15">
      <c r="B77" s="16"/>
    </row>
    <row r="80" ht="15">
      <c r="B80" s="16"/>
    </row>
    <row r="81" spans="4:6" ht="11.25">
      <c r="D81" s="117"/>
      <c r="E81" s="117"/>
      <c r="F81" s="117"/>
    </row>
    <row r="83" spans="3:6" ht="15">
      <c r="C83" s="164" t="s">
        <v>136</v>
      </c>
      <c r="D83" s="166"/>
      <c r="E83" s="166"/>
      <c r="F83" s="166"/>
    </row>
    <row r="86" ht="15">
      <c r="C86" s="16"/>
    </row>
  </sheetData>
  <sheetProtection/>
  <mergeCells count="6">
    <mergeCell ref="A7:K7"/>
    <mergeCell ref="A31:K31"/>
    <mergeCell ref="C60:M60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F21"/>
  <sheetViews>
    <sheetView showGridLines="0" zoomScaleSheetLayoutView="75" zoomScalePageLayoutView="0" workbookViewId="0" topLeftCell="AZ1">
      <selection activeCell="BF12" sqref="BF12"/>
    </sheetView>
  </sheetViews>
  <sheetFormatPr defaultColWidth="9.140625" defaultRowHeight="19.5" customHeight="1"/>
  <cols>
    <col min="1" max="1" width="4.7109375" style="34" customWidth="1"/>
    <col min="2" max="2" width="57.8515625" style="34" customWidth="1"/>
    <col min="3" max="7" width="9.8515625" style="34" hidden="1" customWidth="1"/>
    <col min="8" max="8" width="11.28125" style="34" hidden="1" customWidth="1"/>
    <col min="9" max="9" width="11.8515625" style="34" hidden="1" customWidth="1"/>
    <col min="10" max="11" width="9.8515625" style="34" hidden="1" customWidth="1"/>
    <col min="12" max="12" width="11.140625" style="34" hidden="1" customWidth="1"/>
    <col min="13" max="13" width="11.421875" style="34" hidden="1" customWidth="1"/>
    <col min="14" max="14" width="11.00390625" style="34" hidden="1" customWidth="1"/>
    <col min="15" max="15" width="10.140625" style="34" hidden="1" customWidth="1"/>
    <col min="16" max="16" width="9.8515625" style="34" hidden="1" customWidth="1"/>
    <col min="17" max="17" width="11.28125" style="34" hidden="1" customWidth="1"/>
    <col min="18" max="18" width="10.7109375" style="34" hidden="1" customWidth="1"/>
    <col min="19" max="19" width="11.00390625" style="34" hidden="1" customWidth="1"/>
    <col min="20" max="20" width="14.7109375" style="34" hidden="1" customWidth="1"/>
    <col min="21" max="21" width="2.00390625" style="34" hidden="1" customWidth="1"/>
    <col min="22" max="22" width="10.421875" style="34" hidden="1" customWidth="1"/>
    <col min="23" max="23" width="9.8515625" style="34" hidden="1" customWidth="1"/>
    <col min="24" max="24" width="9.421875" style="34" hidden="1" customWidth="1"/>
    <col min="25" max="25" width="11.28125" style="34" hidden="1" customWidth="1"/>
    <col min="26" max="26" width="10.421875" style="34" hidden="1" customWidth="1"/>
    <col min="27" max="27" width="10.8515625" style="34" hidden="1" customWidth="1"/>
    <col min="28" max="28" width="11.00390625" style="34" hidden="1" customWidth="1"/>
    <col min="29" max="29" width="11.7109375" style="34" hidden="1" customWidth="1"/>
    <col min="30" max="30" width="9.8515625" style="34" hidden="1" customWidth="1"/>
    <col min="31" max="31" width="10.8515625" style="34" hidden="1" customWidth="1"/>
    <col min="32" max="32" width="11.8515625" style="34" hidden="1" customWidth="1"/>
    <col min="33" max="33" width="12.140625" style="34" hidden="1" customWidth="1"/>
    <col min="34" max="34" width="11.421875" style="34" hidden="1" customWidth="1"/>
    <col min="35" max="35" width="11.140625" style="34" hidden="1" customWidth="1"/>
    <col min="36" max="36" width="10.8515625" style="34" hidden="1" customWidth="1"/>
    <col min="37" max="40" width="10.421875" style="34" hidden="1" customWidth="1"/>
    <col min="41" max="41" width="11.421875" style="34" hidden="1" customWidth="1"/>
    <col min="42" max="44" width="11.00390625" style="34" hidden="1" customWidth="1"/>
    <col min="45" max="45" width="12.7109375" style="34" hidden="1" customWidth="1"/>
    <col min="46" max="48" width="12.7109375" style="34" customWidth="1"/>
    <col min="49" max="49" width="11.421875" style="34" customWidth="1"/>
    <col min="50" max="50" width="10.7109375" style="34" customWidth="1"/>
    <col min="51" max="52" width="11.8515625" style="34" customWidth="1"/>
    <col min="53" max="53" width="11.28125" style="34" customWidth="1"/>
    <col min="54" max="54" width="11.421875" style="34" customWidth="1"/>
    <col min="55" max="55" width="10.421875" style="34" customWidth="1"/>
    <col min="56" max="56" width="11.00390625" style="34" customWidth="1"/>
    <col min="57" max="57" width="11.421875" style="34" customWidth="1"/>
    <col min="58" max="58" width="11.00390625" style="34" customWidth="1"/>
    <col min="59" max="16384" width="9.140625" style="34" customWidth="1"/>
  </cols>
  <sheetData>
    <row r="2" spans="1:48" ht="19.5" customHeight="1">
      <c r="A2" s="186"/>
      <c r="B2" s="187" t="s">
        <v>132</v>
      </c>
      <c r="C2" s="188"/>
      <c r="D2" s="188"/>
      <c r="E2" s="188"/>
      <c r="F2" s="189"/>
      <c r="G2" s="190"/>
      <c r="H2" s="189"/>
      <c r="I2" s="190"/>
      <c r="J2" s="190"/>
      <c r="K2" s="189"/>
      <c r="L2" s="189"/>
      <c r="M2" s="190"/>
      <c r="N2" s="190"/>
      <c r="O2" s="191"/>
      <c r="P2" s="190"/>
      <c r="Q2" s="189"/>
      <c r="R2" s="190"/>
      <c r="S2" s="190"/>
      <c r="T2" s="192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</row>
    <row r="3" spans="1:58" ht="19.5" customHeight="1" thickBot="1">
      <c r="A3" s="186"/>
      <c r="B3" s="172"/>
      <c r="C3" s="172"/>
      <c r="D3" s="172"/>
      <c r="E3" s="172"/>
      <c r="F3" s="173"/>
      <c r="G3" s="173"/>
      <c r="H3" s="173"/>
      <c r="I3" s="174"/>
      <c r="J3" s="174"/>
      <c r="K3" s="173"/>
      <c r="L3" s="173"/>
      <c r="M3" s="174"/>
      <c r="N3" s="174"/>
      <c r="O3" s="175"/>
      <c r="P3" s="174"/>
      <c r="Q3" s="173"/>
      <c r="R3" s="174"/>
      <c r="S3" s="174"/>
      <c r="T3" s="176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47"/>
      <c r="AX3" s="47"/>
      <c r="AY3" s="47"/>
      <c r="AZ3" s="47"/>
      <c r="BA3" s="47"/>
      <c r="BB3" s="47"/>
      <c r="BC3" s="47"/>
      <c r="BD3" s="47"/>
      <c r="BE3" s="47"/>
      <c r="BF3" s="47"/>
    </row>
    <row r="4" spans="1:58" ht="19.5" customHeight="1">
      <c r="A4" s="186"/>
      <c r="B4" s="218"/>
      <c r="C4" s="170">
        <v>37655</v>
      </c>
      <c r="D4" s="170">
        <v>37681</v>
      </c>
      <c r="E4" s="170">
        <v>37712</v>
      </c>
      <c r="F4" s="170">
        <v>37742</v>
      </c>
      <c r="G4" s="170">
        <v>37773</v>
      </c>
      <c r="H4" s="170">
        <v>37803</v>
      </c>
      <c r="I4" s="170">
        <v>37834</v>
      </c>
      <c r="J4" s="170">
        <v>37865</v>
      </c>
      <c r="K4" s="170">
        <v>37895</v>
      </c>
      <c r="L4" s="170">
        <v>37926</v>
      </c>
      <c r="M4" s="170">
        <v>37956</v>
      </c>
      <c r="N4" s="170">
        <v>37987</v>
      </c>
      <c r="O4" s="171">
        <v>38018</v>
      </c>
      <c r="P4" s="170">
        <v>38047</v>
      </c>
      <c r="Q4" s="170">
        <v>38078</v>
      </c>
      <c r="R4" s="170">
        <v>38108</v>
      </c>
      <c r="S4" s="170">
        <v>38139</v>
      </c>
      <c r="T4" s="170">
        <v>38169</v>
      </c>
      <c r="U4" s="170">
        <v>38200</v>
      </c>
      <c r="V4" s="170">
        <v>38231</v>
      </c>
      <c r="W4" s="170">
        <v>38261</v>
      </c>
      <c r="X4" s="170">
        <v>38292</v>
      </c>
      <c r="Y4" s="170">
        <v>38322</v>
      </c>
      <c r="Z4" s="170">
        <v>38353</v>
      </c>
      <c r="AA4" s="170">
        <v>38384</v>
      </c>
      <c r="AB4" s="170">
        <v>38412</v>
      </c>
      <c r="AC4" s="170">
        <v>38443</v>
      </c>
      <c r="AD4" s="170">
        <v>38473</v>
      </c>
      <c r="AE4" s="170">
        <v>38504</v>
      </c>
      <c r="AF4" s="170">
        <v>38534</v>
      </c>
      <c r="AG4" s="170">
        <v>38565</v>
      </c>
      <c r="AH4" s="170">
        <v>38596</v>
      </c>
      <c r="AI4" s="170">
        <v>38626</v>
      </c>
      <c r="AJ4" s="170">
        <v>38657</v>
      </c>
      <c r="AK4" s="170">
        <v>38687</v>
      </c>
      <c r="AL4" s="170">
        <v>38718</v>
      </c>
      <c r="AM4" s="170">
        <v>38749</v>
      </c>
      <c r="AN4" s="170">
        <v>38777</v>
      </c>
      <c r="AO4" s="170">
        <v>38808</v>
      </c>
      <c r="AP4" s="170">
        <v>38838</v>
      </c>
      <c r="AQ4" s="170">
        <v>38869</v>
      </c>
      <c r="AR4" s="170">
        <v>38929</v>
      </c>
      <c r="AS4" s="170">
        <v>38960</v>
      </c>
      <c r="AT4" s="170">
        <v>38990</v>
      </c>
      <c r="AU4" s="170">
        <v>39021</v>
      </c>
      <c r="AV4" s="170">
        <v>39051</v>
      </c>
      <c r="AW4" s="170">
        <v>39082</v>
      </c>
      <c r="AX4" s="170">
        <v>39113</v>
      </c>
      <c r="AY4" s="170">
        <v>39141</v>
      </c>
      <c r="AZ4" s="170">
        <v>39172</v>
      </c>
      <c r="BA4" s="170">
        <v>39202</v>
      </c>
      <c r="BB4" s="170">
        <v>39233</v>
      </c>
      <c r="BC4" s="170">
        <v>39263</v>
      </c>
      <c r="BD4" s="170">
        <v>39294</v>
      </c>
      <c r="BE4" s="170">
        <v>39325</v>
      </c>
      <c r="BF4" s="170">
        <v>39355</v>
      </c>
    </row>
    <row r="5" spans="1:58" ht="19.5" customHeight="1">
      <c r="A5" s="217"/>
      <c r="B5" s="74" t="s">
        <v>103</v>
      </c>
      <c r="C5" s="75"/>
      <c r="D5" s="75"/>
      <c r="E5" s="76"/>
      <c r="F5" s="77"/>
      <c r="G5" s="77"/>
      <c r="H5" s="77"/>
      <c r="I5" s="77"/>
      <c r="J5" s="77"/>
      <c r="K5" s="77"/>
      <c r="L5" s="77"/>
      <c r="M5" s="78"/>
      <c r="N5" s="77"/>
      <c r="O5" s="79"/>
      <c r="P5" s="80"/>
      <c r="Q5" s="77"/>
      <c r="R5" s="80"/>
      <c r="S5" s="80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1:58" ht="19.5" customHeight="1">
      <c r="A6" s="186"/>
      <c r="B6" s="74"/>
      <c r="C6" s="75"/>
      <c r="D6" s="75"/>
      <c r="E6" s="76"/>
      <c r="F6" s="77"/>
      <c r="G6" s="77"/>
      <c r="H6" s="77"/>
      <c r="I6" s="77"/>
      <c r="J6" s="77"/>
      <c r="K6" s="77"/>
      <c r="L6" s="77"/>
      <c r="M6" s="78"/>
      <c r="N6" s="77"/>
      <c r="O6" s="79"/>
      <c r="P6" s="80"/>
      <c r="Q6" s="77"/>
      <c r="R6" s="80"/>
      <c r="S6" s="80"/>
      <c r="T6" s="81"/>
      <c r="U6" s="80"/>
      <c r="V6" s="80"/>
      <c r="W6" s="80"/>
      <c r="X6" s="80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2:58" ht="19.5" customHeight="1">
      <c r="B7" s="74" t="s">
        <v>149</v>
      </c>
      <c r="C7" s="82">
        <v>2595.44027685</v>
      </c>
      <c r="D7" s="82">
        <v>2187.8368766900003</v>
      </c>
      <c r="E7" s="82">
        <v>2272.4872471500003</v>
      </c>
      <c r="F7" s="83">
        <v>2113.36340838</v>
      </c>
      <c r="G7" s="83">
        <v>2165.8</v>
      </c>
      <c r="H7" s="84">
        <v>2129.6</v>
      </c>
      <c r="I7" s="77">
        <v>1891</v>
      </c>
      <c r="J7" s="83">
        <v>2181.2</v>
      </c>
      <c r="K7" s="83">
        <v>2467.9</v>
      </c>
      <c r="L7" s="83">
        <v>2091</v>
      </c>
      <c r="M7" s="85">
        <v>2110.3</v>
      </c>
      <c r="N7" s="83">
        <v>2710.8702829799995</v>
      </c>
      <c r="O7" s="86">
        <v>1935.4129830699999</v>
      </c>
      <c r="P7" s="87">
        <v>1824.1042653499997</v>
      </c>
      <c r="Q7" s="77">
        <v>2395.6</v>
      </c>
      <c r="R7" s="77">
        <v>1860.4</v>
      </c>
      <c r="S7" s="77">
        <v>1783.2</v>
      </c>
      <c r="T7" s="77">
        <v>1984.6</v>
      </c>
      <c r="U7" s="77">
        <v>1989.9</v>
      </c>
      <c r="V7" s="77">
        <v>1808.2</v>
      </c>
      <c r="W7" s="77">
        <v>2207.6</v>
      </c>
      <c r="X7" s="77">
        <v>1987.9</v>
      </c>
      <c r="Y7" s="77">
        <v>1977.3</v>
      </c>
      <c r="Z7" s="77">
        <v>2327.5</v>
      </c>
      <c r="AA7" s="77">
        <v>2029.5</v>
      </c>
      <c r="AB7" s="77">
        <v>1912.6</v>
      </c>
      <c r="AC7" s="77">
        <v>2303.8</v>
      </c>
      <c r="AD7" s="77">
        <v>2107.1</v>
      </c>
      <c r="AE7" s="77">
        <v>1874.1</v>
      </c>
      <c r="AF7" s="77">
        <v>2354.7</v>
      </c>
      <c r="AG7" s="77">
        <v>2159.1</v>
      </c>
      <c r="AH7" s="77">
        <v>1818.2</v>
      </c>
      <c r="AI7" s="83">
        <v>2245</v>
      </c>
      <c r="AJ7" s="83">
        <v>1902.22246</v>
      </c>
      <c r="AK7" s="83">
        <v>1983.9</v>
      </c>
      <c r="AL7" s="83">
        <v>2705.5</v>
      </c>
      <c r="AM7" s="83">
        <v>2696</v>
      </c>
      <c r="AN7" s="83">
        <v>2458.1</v>
      </c>
      <c r="AO7" s="83">
        <v>3129.7</v>
      </c>
      <c r="AP7" s="83">
        <v>2973</v>
      </c>
      <c r="AQ7" s="83">
        <v>2677.9</v>
      </c>
      <c r="AR7" s="83">
        <v>3313.1</v>
      </c>
      <c r="AS7" s="83">
        <v>2760.7</v>
      </c>
      <c r="AT7" s="83">
        <v>3119.2</v>
      </c>
      <c r="AU7" s="83">
        <v>4104.4</v>
      </c>
      <c r="AV7" s="83">
        <v>3495.2</v>
      </c>
      <c r="AW7" s="83">
        <v>3164.3</v>
      </c>
      <c r="AX7" s="83">
        <v>4865.6</v>
      </c>
      <c r="AY7" s="83">
        <v>4466.4</v>
      </c>
      <c r="AZ7" s="83">
        <v>5690</v>
      </c>
      <c r="BA7" s="83">
        <v>6260.1</v>
      </c>
      <c r="BB7" s="83">
        <v>5643.8</v>
      </c>
      <c r="BC7" s="84">
        <v>6085.3</v>
      </c>
      <c r="BD7" s="84">
        <v>7455.9</v>
      </c>
      <c r="BE7" s="84">
        <v>6359</v>
      </c>
      <c r="BF7" s="84">
        <v>5868.650081049999</v>
      </c>
    </row>
    <row r="8" spans="2:58" ht="19.5" customHeight="1">
      <c r="B8" s="74" t="s">
        <v>30</v>
      </c>
      <c r="C8" s="88"/>
      <c r="D8" s="88">
        <f>D7-C7</f>
        <v>-407.60340015999964</v>
      </c>
      <c r="E8" s="88">
        <f>E7-D7</f>
        <v>84.65037045999998</v>
      </c>
      <c r="F8" s="88">
        <f>F7-E7</f>
        <v>-159.12383877000048</v>
      </c>
      <c r="G8" s="88">
        <f aca="true" t="shared" si="0" ref="G8:AG8">G7-F7</f>
        <v>52.4365916200004</v>
      </c>
      <c r="H8" s="88">
        <f t="shared" si="0"/>
        <v>-36.20000000000027</v>
      </c>
      <c r="I8" s="88">
        <f t="shared" si="0"/>
        <v>-238.5999999999999</v>
      </c>
      <c r="J8" s="88">
        <f t="shared" si="0"/>
        <v>290.1999999999998</v>
      </c>
      <c r="K8" s="88">
        <f t="shared" si="0"/>
        <v>286.7000000000003</v>
      </c>
      <c r="L8" s="88">
        <f t="shared" si="0"/>
        <v>-376.9000000000001</v>
      </c>
      <c r="M8" s="88">
        <f t="shared" si="0"/>
        <v>19.300000000000182</v>
      </c>
      <c r="N8" s="88">
        <f t="shared" si="0"/>
        <v>600.5702829799993</v>
      </c>
      <c r="O8" s="89">
        <f t="shared" si="0"/>
        <v>-775.4572999099996</v>
      </c>
      <c r="P8" s="84">
        <f t="shared" si="0"/>
        <v>-111.30871772000023</v>
      </c>
      <c r="Q8" s="84">
        <f t="shared" si="0"/>
        <v>571.4957346500003</v>
      </c>
      <c r="R8" s="84">
        <f t="shared" si="0"/>
        <v>-535.1999999999998</v>
      </c>
      <c r="S8" s="84">
        <f t="shared" si="0"/>
        <v>-77.20000000000005</v>
      </c>
      <c r="T8" s="84">
        <f t="shared" si="0"/>
        <v>201.39999999999986</v>
      </c>
      <c r="U8" s="84">
        <f t="shared" si="0"/>
        <v>5.300000000000182</v>
      </c>
      <c r="V8" s="84">
        <f t="shared" si="0"/>
        <v>-181.70000000000005</v>
      </c>
      <c r="W8" s="84">
        <f t="shared" si="0"/>
        <v>399.39999999999986</v>
      </c>
      <c r="X8" s="84">
        <f t="shared" si="0"/>
        <v>-219.69999999999982</v>
      </c>
      <c r="Y8" s="84">
        <f t="shared" si="0"/>
        <v>-10.600000000000136</v>
      </c>
      <c r="Z8" s="84">
        <f t="shared" si="0"/>
        <v>350.20000000000005</v>
      </c>
      <c r="AA8" s="84">
        <f t="shared" si="0"/>
        <v>-298</v>
      </c>
      <c r="AB8" s="84">
        <f t="shared" si="0"/>
        <v>-116.90000000000009</v>
      </c>
      <c r="AC8" s="84">
        <f t="shared" si="0"/>
        <v>391.2000000000003</v>
      </c>
      <c r="AD8" s="84">
        <f t="shared" si="0"/>
        <v>-196.70000000000027</v>
      </c>
      <c r="AE8" s="84">
        <f t="shared" si="0"/>
        <v>-233</v>
      </c>
      <c r="AF8" s="84">
        <f t="shared" si="0"/>
        <v>480.5999999999999</v>
      </c>
      <c r="AG8" s="84">
        <f t="shared" si="0"/>
        <v>-195.5999999999999</v>
      </c>
      <c r="AH8" s="84">
        <f aca="true" t="shared" si="1" ref="AH8:BF8">AH7-AG7</f>
        <v>-340.89999999999986</v>
      </c>
      <c r="AI8" s="84">
        <f t="shared" si="1"/>
        <v>426.79999999999995</v>
      </c>
      <c r="AJ8" s="84">
        <f t="shared" si="1"/>
        <v>-342.77754000000004</v>
      </c>
      <c r="AK8" s="84">
        <f t="shared" si="1"/>
        <v>81.67754000000014</v>
      </c>
      <c r="AL8" s="84">
        <f t="shared" si="1"/>
        <v>721.5999999999999</v>
      </c>
      <c r="AM8" s="84">
        <f t="shared" si="1"/>
        <v>-9.5</v>
      </c>
      <c r="AN8" s="84">
        <f t="shared" si="1"/>
        <v>-237.9000000000001</v>
      </c>
      <c r="AO8" s="84">
        <f t="shared" si="1"/>
        <v>671.5999999999999</v>
      </c>
      <c r="AP8" s="84">
        <f t="shared" si="1"/>
        <v>-156.69999999999982</v>
      </c>
      <c r="AQ8" s="84">
        <f t="shared" si="1"/>
        <v>-295.0999999999999</v>
      </c>
      <c r="AR8" s="84">
        <f t="shared" si="1"/>
        <v>635.1999999999998</v>
      </c>
      <c r="AS8" s="84">
        <f t="shared" si="1"/>
        <v>-552.4000000000001</v>
      </c>
      <c r="AT8" s="84">
        <f t="shared" si="1"/>
        <v>358.5</v>
      </c>
      <c r="AU8" s="84">
        <f t="shared" si="1"/>
        <v>985.1999999999998</v>
      </c>
      <c r="AV8" s="84">
        <f t="shared" si="1"/>
        <v>-609.1999999999998</v>
      </c>
      <c r="AW8" s="84">
        <f t="shared" si="1"/>
        <v>-330.89999999999964</v>
      </c>
      <c r="AX8" s="84">
        <f t="shared" si="1"/>
        <v>1701.3000000000002</v>
      </c>
      <c r="AY8" s="84">
        <f t="shared" si="1"/>
        <v>-399.2000000000007</v>
      </c>
      <c r="AZ8" s="84">
        <f t="shared" si="1"/>
        <v>1223.6000000000004</v>
      </c>
      <c r="BA8" s="84">
        <f t="shared" si="1"/>
        <v>570.1000000000004</v>
      </c>
      <c r="BB8" s="84">
        <f t="shared" si="1"/>
        <v>-616.3000000000002</v>
      </c>
      <c r="BC8" s="84">
        <f t="shared" si="1"/>
        <v>441.5</v>
      </c>
      <c r="BD8" s="84">
        <f t="shared" si="1"/>
        <v>1370.5999999999995</v>
      </c>
      <c r="BE8" s="84">
        <f t="shared" si="1"/>
        <v>-1096.8999999999996</v>
      </c>
      <c r="BF8" s="84">
        <f t="shared" si="1"/>
        <v>-490.34991895000076</v>
      </c>
    </row>
    <row r="9" spans="2:58" ht="19.5" customHeight="1">
      <c r="B9" s="74"/>
      <c r="C9" s="75"/>
      <c r="D9" s="75"/>
      <c r="E9" s="75"/>
      <c r="F9" s="77"/>
      <c r="G9" s="77"/>
      <c r="H9" s="77"/>
      <c r="I9" s="77"/>
      <c r="J9" s="77"/>
      <c r="K9" s="77"/>
      <c r="L9" s="77"/>
      <c r="M9" s="78"/>
      <c r="N9" s="77"/>
      <c r="O9" s="79"/>
      <c r="P9" s="80"/>
      <c r="Q9" s="77"/>
      <c r="R9" s="80"/>
      <c r="S9" s="80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</row>
    <row r="10" spans="2:58" ht="19.5" customHeight="1">
      <c r="B10" s="74" t="s">
        <v>44</v>
      </c>
      <c r="C10" s="75"/>
      <c r="D10" s="75"/>
      <c r="E10" s="75"/>
      <c r="F10" s="77"/>
      <c r="G10" s="77"/>
      <c r="H10" s="77"/>
      <c r="I10" s="77"/>
      <c r="J10" s="77"/>
      <c r="K10" s="77"/>
      <c r="L10" s="77"/>
      <c r="M10" s="78"/>
      <c r="N10" s="77"/>
      <c r="O10" s="79"/>
      <c r="P10" s="80"/>
      <c r="Q10" s="77"/>
      <c r="R10" s="80"/>
      <c r="S10" s="80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1" spans="2:58" ht="19.5" customHeight="1">
      <c r="B11" s="74"/>
      <c r="C11" s="75"/>
      <c r="D11" s="75"/>
      <c r="E11" s="75"/>
      <c r="F11" s="77"/>
      <c r="G11" s="77"/>
      <c r="H11" s="77"/>
      <c r="I11" s="77"/>
      <c r="J11" s="77"/>
      <c r="K11" s="77"/>
      <c r="L11" s="77"/>
      <c r="M11" s="78"/>
      <c r="N11" s="77"/>
      <c r="O11" s="79"/>
      <c r="P11" s="80"/>
      <c r="Q11" s="77"/>
      <c r="R11" s="80"/>
      <c r="S11" s="80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</row>
    <row r="12" spans="2:58" ht="19.5" customHeight="1">
      <c r="B12" s="74" t="s">
        <v>31</v>
      </c>
      <c r="C12" s="75"/>
      <c r="D12" s="75">
        <v>8.0439</v>
      </c>
      <c r="E12" s="75">
        <v>7.7068</v>
      </c>
      <c r="F12" s="90">
        <v>7.6652</v>
      </c>
      <c r="G12" s="90">
        <v>7.9027</v>
      </c>
      <c r="H12" s="90">
        <v>7.5401</v>
      </c>
      <c r="I12" s="77">
        <v>7.3922</v>
      </c>
      <c r="J12" s="77">
        <v>7.3246</v>
      </c>
      <c r="K12" s="77">
        <v>6.9637</v>
      </c>
      <c r="L12" s="77">
        <v>6.7287</v>
      </c>
      <c r="M12" s="78">
        <v>6.5159</v>
      </c>
      <c r="N12" s="77">
        <v>6.9179</v>
      </c>
      <c r="O12" s="78">
        <v>6.7686</v>
      </c>
      <c r="P12" s="77">
        <v>6.6633</v>
      </c>
      <c r="Q12" s="77">
        <v>6.5537</v>
      </c>
      <c r="R12" s="77">
        <v>6.7821</v>
      </c>
      <c r="S12" s="77">
        <v>6.4381</v>
      </c>
      <c r="T12" s="91">
        <v>6.1287</v>
      </c>
      <c r="U12" s="77">
        <v>6.4575</v>
      </c>
      <c r="V12" s="77">
        <v>6.5469</v>
      </c>
      <c r="W12" s="77">
        <v>6.3876</v>
      </c>
      <c r="X12" s="77">
        <v>6.0558</v>
      </c>
      <c r="Y12" s="77">
        <v>5.7323</v>
      </c>
      <c r="Z12" s="77">
        <v>5.9698</v>
      </c>
      <c r="AA12" s="77">
        <v>6.0161</v>
      </c>
      <c r="AB12" s="77">
        <v>6.323</v>
      </c>
      <c r="AC12" s="77">
        <v>6.1521</v>
      </c>
      <c r="AD12" s="77">
        <v>6.3314</v>
      </c>
      <c r="AE12" s="91">
        <v>6.75</v>
      </c>
      <c r="AF12" s="91">
        <v>6.7035</v>
      </c>
      <c r="AG12" s="91">
        <v>6.465</v>
      </c>
      <c r="AH12" s="91">
        <v>6.3578</v>
      </c>
      <c r="AI12" s="91">
        <v>6.5766</v>
      </c>
      <c r="AJ12" s="91">
        <v>6.521</v>
      </c>
      <c r="AK12" s="91">
        <v>6.3591</v>
      </c>
      <c r="AL12" s="91">
        <v>6.0891</v>
      </c>
      <c r="AM12" s="91">
        <v>6.1177</v>
      </c>
      <c r="AN12" s="91">
        <v>6.2544</v>
      </c>
      <c r="AO12" s="91">
        <v>6.072</v>
      </c>
      <c r="AP12" s="91">
        <v>6.3199</v>
      </c>
      <c r="AQ12" s="91">
        <v>6.9549</v>
      </c>
      <c r="AR12" s="91">
        <v>7.0843</v>
      </c>
      <c r="AS12" s="91">
        <v>6.9553</v>
      </c>
      <c r="AT12" s="91">
        <v>7.4098</v>
      </c>
      <c r="AU12" s="91">
        <v>7.6492</v>
      </c>
      <c r="AV12" s="91">
        <v>7.2586</v>
      </c>
      <c r="AW12" s="91">
        <v>7.0406</v>
      </c>
      <c r="AX12" s="91">
        <v>7.1838</v>
      </c>
      <c r="AY12" s="91">
        <v>7.1698</v>
      </c>
      <c r="AZ12" s="91">
        <v>7.3514</v>
      </c>
      <c r="BA12" s="91">
        <v>7.1216</v>
      </c>
      <c r="BB12" s="91">
        <v>7.0187</v>
      </c>
      <c r="BC12" s="91">
        <v>7.1718</v>
      </c>
      <c r="BD12" s="91">
        <v>6.973</v>
      </c>
      <c r="BE12" s="91">
        <v>7.2334</v>
      </c>
      <c r="BF12" s="91">
        <v>7.1282</v>
      </c>
    </row>
    <row r="13" spans="2:58" ht="19.5" customHeight="1">
      <c r="B13" s="74" t="s">
        <v>32</v>
      </c>
      <c r="C13" s="92"/>
      <c r="D13" s="92">
        <f>1/8.0439</f>
        <v>0.124317806039359</v>
      </c>
      <c r="E13" s="92">
        <f>1/7.7068</f>
        <v>0.12975554056158198</v>
      </c>
      <c r="F13" s="93">
        <f>1/7.6652</f>
        <v>0.13045974012419767</v>
      </c>
      <c r="G13" s="93">
        <f>1/7.9027</f>
        <v>0.12653903096410088</v>
      </c>
      <c r="H13" s="93">
        <f>1/7.5401</f>
        <v>0.1326242357528415</v>
      </c>
      <c r="I13" s="93">
        <f>1/7.3922</f>
        <v>0.13527772516977354</v>
      </c>
      <c r="J13" s="93">
        <f>1/7.3246</f>
        <v>0.1365262266881468</v>
      </c>
      <c r="K13" s="93">
        <f>1/6.9637</f>
        <v>0.14360182087108864</v>
      </c>
      <c r="L13" s="93">
        <f>1/6.7287</f>
        <v>0.14861711771961894</v>
      </c>
      <c r="M13" s="93">
        <f>1/6.5159</f>
        <v>0.15347074080326586</v>
      </c>
      <c r="N13" s="93">
        <f>1/6.9179</f>
        <v>0.14455253761979792</v>
      </c>
      <c r="O13" s="94">
        <f>1/6.7686</f>
        <v>0.14774103950595396</v>
      </c>
      <c r="P13" s="93">
        <f>1/6.6633</f>
        <v>0.1500757882730779</v>
      </c>
      <c r="Q13" s="93">
        <f>1/6.5537</f>
        <v>0.15258556235409004</v>
      </c>
      <c r="R13" s="93">
        <f>1/6.7821</f>
        <v>0.14744695595759427</v>
      </c>
      <c r="S13" s="93">
        <f>1/6.4381</f>
        <v>0.15532532890138395</v>
      </c>
      <c r="T13" s="93">
        <f>1/6.1287</f>
        <v>0.1631667400916997</v>
      </c>
      <c r="U13" s="93">
        <f>1/6.4575</f>
        <v>0.1548586914440573</v>
      </c>
      <c r="V13" s="93">
        <f>1/6.5469</f>
        <v>0.15274404680077594</v>
      </c>
      <c r="W13" s="93">
        <f>1/6.3876</f>
        <v>0.15655332206149414</v>
      </c>
      <c r="X13" s="93">
        <f>1/6.0558</f>
        <v>0.16513094884243207</v>
      </c>
      <c r="Y13" s="93">
        <f>1/5.7323</f>
        <v>0.17445004622926225</v>
      </c>
      <c r="Z13" s="93">
        <f>1/5.9698</f>
        <v>0.1675097993232604</v>
      </c>
      <c r="AA13" s="93">
        <f>1/6.0161</f>
        <v>0.16622064127923405</v>
      </c>
      <c r="AB13" s="93">
        <f>1/6.0101</f>
        <v>0.16638658258598024</v>
      </c>
      <c r="AC13" s="93">
        <f>1/6.1521</f>
        <v>0.16254612246224867</v>
      </c>
      <c r="AD13" s="93">
        <f>1/6.3314</f>
        <v>0.1579429510060966</v>
      </c>
      <c r="AE13" s="93">
        <f>1/6.75</f>
        <v>0.14814814814814814</v>
      </c>
      <c r="AF13" s="93">
        <f>1/6.7035</f>
        <v>0.14917580368464234</v>
      </c>
      <c r="AG13" s="93">
        <f>1/6.465</f>
        <v>0.15467904098994587</v>
      </c>
      <c r="AH13" s="93">
        <f>1/6.3578</f>
        <v>0.1572871118940514</v>
      </c>
      <c r="AI13" s="93">
        <f>1/6.5766</f>
        <v>0.15205425295745523</v>
      </c>
      <c r="AJ13" s="93">
        <f>1/6.521</f>
        <v>0.15335071308081583</v>
      </c>
      <c r="AK13" s="93">
        <f>1/6.3591</f>
        <v>0.157254957462534</v>
      </c>
      <c r="AL13" s="93">
        <f>1/6.0891</f>
        <v>0.1642278826099095</v>
      </c>
      <c r="AM13" s="93">
        <f>1/6.1177</f>
        <v>0.16346012390277392</v>
      </c>
      <c r="AN13" s="93">
        <f>1/6.2544</f>
        <v>0.15988743924277307</v>
      </c>
      <c r="AO13" s="93">
        <f>1/6.072</f>
        <v>0.16469038208168643</v>
      </c>
      <c r="AP13" s="93">
        <f>1/6.3199</f>
        <v>0.15823035174607195</v>
      </c>
      <c r="AQ13" s="93">
        <f>1/6.9549</f>
        <v>0.14378351953299112</v>
      </c>
      <c r="AR13" s="93">
        <f>1/7.0843</f>
        <v>0.14115720678119223</v>
      </c>
      <c r="AS13" s="93">
        <f>1/6.9553</f>
        <v>0.14377525052837403</v>
      </c>
      <c r="AT13" s="93">
        <f>1/7.4098</f>
        <v>0.1349564090798672</v>
      </c>
      <c r="AU13" s="93">
        <f>1/7.6492</f>
        <v>0.13073262563405322</v>
      </c>
      <c r="AV13" s="93">
        <f>1/7.2586</f>
        <v>0.1377676135893974</v>
      </c>
      <c r="AW13" s="93">
        <f>1/7.0406</f>
        <v>0.14203334943044627</v>
      </c>
      <c r="AX13" s="93">
        <f>1/7.1838</f>
        <v>0.13920209359948774</v>
      </c>
      <c r="AY13" s="93">
        <f>1/7.1698</f>
        <v>0.13947390443248067</v>
      </c>
      <c r="AZ13" s="93">
        <f>1/7.3514</f>
        <v>0.13602851157602633</v>
      </c>
      <c r="BA13" s="93">
        <f>1/7.1216</f>
        <v>0.14041788362165805</v>
      </c>
      <c r="BB13" s="93">
        <f>1/7.0187</f>
        <v>0.14247652699217803</v>
      </c>
      <c r="BC13" s="93">
        <f>1/7.1718</f>
        <v>0.13943500934214562</v>
      </c>
      <c r="BD13" s="93">
        <f>1/6.973</f>
        <v>0.1434102968593145</v>
      </c>
      <c r="BE13" s="93">
        <f>1/7.2334</f>
        <v>0.1382475737550806</v>
      </c>
      <c r="BF13" s="93">
        <f>1/7.1282</f>
        <v>0.14028787071069837</v>
      </c>
    </row>
    <row r="14" spans="2:58" ht="19.5" customHeight="1">
      <c r="B14" s="74" t="s">
        <v>33</v>
      </c>
      <c r="C14" s="75"/>
      <c r="D14" s="75"/>
      <c r="E14" s="75"/>
      <c r="F14" s="90"/>
      <c r="G14" s="90"/>
      <c r="H14" s="90"/>
      <c r="I14" s="77"/>
      <c r="J14" s="77"/>
      <c r="K14" s="77"/>
      <c r="L14" s="77"/>
      <c r="M14" s="78"/>
      <c r="N14" s="77"/>
      <c r="O14" s="79"/>
      <c r="P14" s="80"/>
      <c r="Q14" s="77"/>
      <c r="R14" s="80"/>
      <c r="S14" s="80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</row>
    <row r="15" spans="2:58" ht="19.5" customHeight="1">
      <c r="B15" s="74" t="s">
        <v>34</v>
      </c>
      <c r="C15" s="92"/>
      <c r="D15" s="92">
        <f>1/12.7437</f>
        <v>0.07847014603294176</v>
      </c>
      <c r="E15" s="92">
        <f>1/12.124</f>
        <v>0.08248102936324644</v>
      </c>
      <c r="F15" s="93">
        <f>1/12.4393</f>
        <v>0.08039037566422548</v>
      </c>
      <c r="G15" s="93">
        <f>1/13.1219</f>
        <v>0.07620847590669035</v>
      </c>
      <c r="H15" s="93">
        <f>1/12.26</f>
        <v>0.08156606851549755</v>
      </c>
      <c r="I15" s="93">
        <f>1/11.7868</f>
        <v>0.08484066922319884</v>
      </c>
      <c r="J15" s="93">
        <f>1/11.702</f>
        <v>0.08545547769612032</v>
      </c>
      <c r="K15" s="93">
        <f>1/11.6744</f>
        <v>0.08565750702391557</v>
      </c>
      <c r="L15" s="93">
        <f>1/11.3692</f>
        <v>0.08795693628399535</v>
      </c>
      <c r="M15" s="93">
        <f>1/11.3073</f>
        <v>0.08843844242215207</v>
      </c>
      <c r="N15" s="93">
        <f>1/12.5935</f>
        <v>0.07940604279985707</v>
      </c>
      <c r="O15" s="94">
        <f>1/12.6411</f>
        <v>0.07910703973546607</v>
      </c>
      <c r="P15" s="93">
        <f>1/12.1204</f>
        <v>0.08250552787036732</v>
      </c>
      <c r="Q15" s="93">
        <f>1/11.8224</f>
        <v>0.08458519420760591</v>
      </c>
      <c r="R15" s="93">
        <f>1/12.1262</f>
        <v>0.08246606521416437</v>
      </c>
      <c r="S15" s="93">
        <f>1/11.7619</f>
        <v>0.08502027733614466</v>
      </c>
      <c r="T15" s="93">
        <f>1/11.2923</f>
        <v>0.08855591863482197</v>
      </c>
      <c r="U15" s="93">
        <f>1/11.7446</f>
        <v>0.08514551368288405</v>
      </c>
      <c r="V15" s="93">
        <f>1/11.736</f>
        <v>0.08520790729379686</v>
      </c>
      <c r="W15" s="93">
        <f>1/11.5461</f>
        <v>0.08660933128935312</v>
      </c>
      <c r="X15" s="93">
        <f>1/11.2483</f>
        <v>0.08890232301770044</v>
      </c>
      <c r="Y15" s="93">
        <f>1/11.601</f>
        <v>0.0861994655633135</v>
      </c>
      <c r="Z15" s="93">
        <f>1/11.2168</f>
        <v>0.08915198630625491</v>
      </c>
      <c r="AA15" s="93">
        <f>1/11.3535</f>
        <v>0.08807856608094419</v>
      </c>
      <c r="AB15" s="93">
        <f>1/11.8847</f>
        <v>0.08414179575420498</v>
      </c>
      <c r="AC15" s="93">
        <f>1/11.6567</f>
        <v>0.08578757281220242</v>
      </c>
      <c r="AD15" s="93">
        <f>1/11.7446</f>
        <v>0.08514551368288405</v>
      </c>
      <c r="AE15" s="93">
        <f>1/12.282</f>
        <v>0.08141996417521576</v>
      </c>
      <c r="AF15" s="93">
        <f>1/11.7407</f>
        <v>0.08517379713304998</v>
      </c>
      <c r="AG15" s="93">
        <f>1/11.5992</f>
        <v>0.0862128422649838</v>
      </c>
      <c r="AH15" s="93">
        <f>1/11.4978</f>
        <v>0.08697316008279846</v>
      </c>
      <c r="AI15" s="93">
        <f>1/11.5989</f>
        <v>0.08621507211890782</v>
      </c>
      <c r="AJ15" s="93">
        <f>1/11.2213</f>
        <v>0.08911623430440324</v>
      </c>
      <c r="AK15" s="93">
        <f>1/11.1059</f>
        <v>0.0900422298057789</v>
      </c>
      <c r="AL15" s="93">
        <f>1/10.7529</f>
        <v>0.09299816793609166</v>
      </c>
      <c r="AM15" s="93">
        <f>1/10.6948</f>
        <v>0.09350338482253057</v>
      </c>
      <c r="AN15" s="93">
        <f>1/10.907</f>
        <v>0.09168423947923351</v>
      </c>
      <c r="AO15" s="93">
        <f>1/10.7206</f>
        <v>0.09327836128574894</v>
      </c>
      <c r="AP15" s="93">
        <f>1/11.806</f>
        <v>0.08470269354565475</v>
      </c>
      <c r="AQ15" s="93">
        <f>1/12.8291</f>
        <v>0.07794779056987629</v>
      </c>
      <c r="AR15" s="93">
        <f>1/13.0643</f>
        <v>0.07654447616787735</v>
      </c>
      <c r="AS15" s="93">
        <f>1/13.1608</f>
        <v>0.07598322290438271</v>
      </c>
      <c r="AT15" s="93">
        <f>1/13.9706</f>
        <v>0.07157888709146351</v>
      </c>
      <c r="AU15" s="93">
        <f>1/14.3415</f>
        <v>0.069727713279643</v>
      </c>
      <c r="AV15" s="93">
        <f>1/13.8728</f>
        <v>0.07208350152817024</v>
      </c>
      <c r="AW15" s="93">
        <f>1/13.8362</f>
        <v>0.07227417932669375</v>
      </c>
      <c r="AX15" s="93">
        <f>1/14.0828</f>
        <v>0.07100860624307666</v>
      </c>
      <c r="AY15" s="93">
        <f>1/14.0398</f>
        <v>0.07122608584167865</v>
      </c>
      <c r="AZ15" s="93">
        <f>1/14.3044</f>
        <v>0.06990855960403793</v>
      </c>
      <c r="BA15" s="93">
        <f>1/14.1669</f>
        <v>0.07058707268350874</v>
      </c>
      <c r="BB15" s="93">
        <f>1/13.9229</f>
        <v>0.07182411710204052</v>
      </c>
      <c r="BC15" s="93">
        <f>1/14.2416</f>
        <v>0.07021682956971127</v>
      </c>
      <c r="BD15" s="93">
        <f>1/14.1833</f>
        <v>0.07050545359683572</v>
      </c>
      <c r="BE15" s="93">
        <f>1/14.525</f>
        <v>0.06884681583476764</v>
      </c>
      <c r="BF15" s="93">
        <f>1/14.3767</f>
        <v>0.06955699152100274</v>
      </c>
    </row>
    <row r="16" spans="2:58" ht="19.5" customHeight="1">
      <c r="B16" s="74" t="s">
        <v>35</v>
      </c>
      <c r="C16" s="92"/>
      <c r="D16" s="92">
        <f>1/0.0679</f>
        <v>14.727540500736376</v>
      </c>
      <c r="E16" s="92">
        <f>1/0.0642</f>
        <v>15.576323987538942</v>
      </c>
      <c r="F16" s="93">
        <f>1/0.0654</f>
        <v>15.290519877675841</v>
      </c>
      <c r="G16" s="93">
        <f>1/0.0668</f>
        <v>14.970059880239521</v>
      </c>
      <c r="H16" s="93">
        <f>1/0.0636</f>
        <v>15.723270440251572</v>
      </c>
      <c r="I16" s="93">
        <f>1/0.0622</f>
        <v>16.077170418006432</v>
      </c>
      <c r="J16" s="93">
        <f>1/0.0636</f>
        <v>15.723270440251572</v>
      </c>
      <c r="K16" s="93">
        <f>1/0.0636</f>
        <v>15.723270440251572</v>
      </c>
      <c r="L16" s="93">
        <f>1/0.0616</f>
        <v>16.233766233766232</v>
      </c>
      <c r="M16" s="93">
        <f>1/0.0604</f>
        <v>16.556291390728475</v>
      </c>
      <c r="N16" s="93">
        <f>1/0.065</f>
        <v>15.384615384615383</v>
      </c>
      <c r="O16" s="94">
        <f>1/0.0695</f>
        <v>14.388489208633093</v>
      </c>
      <c r="P16" s="93">
        <f>1/0.0611</f>
        <v>16.366612111292962</v>
      </c>
      <c r="Q16" s="93">
        <f>1/0.061</f>
        <v>16.39344262295082</v>
      </c>
      <c r="R16" s="93">
        <f>1/0.0606</f>
        <v>16.5016501650165</v>
      </c>
      <c r="S16" s="93">
        <f>1/0.0588</f>
        <v>17.006802721088437</v>
      </c>
      <c r="T16" s="93">
        <f>1/0.0561</f>
        <v>17.825311942959004</v>
      </c>
      <c r="U16" s="93">
        <f>1/0.0505</f>
        <v>19.801980198019802</v>
      </c>
      <c r="V16" s="93">
        <f>1/0.0595</f>
        <v>16.80672268907563</v>
      </c>
      <c r="W16" s="93">
        <f>1/0.0587</f>
        <v>17.035775127768314</v>
      </c>
      <c r="X16" s="93">
        <f>1/0.0578</f>
        <v>17.301038062283737</v>
      </c>
      <c r="Y16" s="93">
        <f>1/0.052</f>
        <v>19.23076923076923</v>
      </c>
      <c r="Z16" s="93">
        <f>1/0.0578</f>
        <v>17.301038062283737</v>
      </c>
      <c r="AA16" s="93">
        <f>1/0.0574</f>
        <v>17.421602787456447</v>
      </c>
      <c r="AB16" s="93">
        <f>1/0.0572</f>
        <v>17.482517482517483</v>
      </c>
      <c r="AC16" s="93">
        <f>1/0.0572</f>
        <v>17.482517482517483</v>
      </c>
      <c r="AD16" s="93">
        <f>1/0.0594</f>
        <v>16.835016835016834</v>
      </c>
      <c r="AE16" s="93">
        <f>1/0.0621</f>
        <v>16.10305958132045</v>
      </c>
      <c r="AF16" s="93">
        <f>1/0.0599</f>
        <v>16.69449081803005</v>
      </c>
      <c r="AG16" s="93">
        <f>1/0.0585</f>
        <v>17.094017094017094</v>
      </c>
      <c r="AH16" s="93">
        <f>1/0.0573</f>
        <v>17.452006980802793</v>
      </c>
      <c r="AI16" s="93">
        <f>1/0.0573</f>
        <v>17.452006980802793</v>
      </c>
      <c r="AJ16" s="93">
        <f>1/0.0545</f>
        <v>18.34862385321101</v>
      </c>
      <c r="AK16" s="93">
        <f>1/0.0536</f>
        <v>18.65671641791045</v>
      </c>
      <c r="AL16" s="93">
        <f>1/0.0528</f>
        <v>18.93939393939394</v>
      </c>
      <c r="AM16" s="93">
        <f>1/0.0519</f>
        <v>19.267822736030826</v>
      </c>
      <c r="AN16" s="93">
        <f>1/0.0533</f>
        <v>18.76172607879925</v>
      </c>
      <c r="AO16" s="93">
        <f>1/0.0518</f>
        <v>19.305019305019304</v>
      </c>
      <c r="AP16" s="93">
        <f>1/0.0566</f>
        <v>17.6678445229682</v>
      </c>
      <c r="AQ16" s="93">
        <f>1/0.0607</f>
        <v>16.474464579901156</v>
      </c>
      <c r="AR16" s="93">
        <f>1/0.0613</f>
        <v>16.31321370309951</v>
      </c>
      <c r="AS16" s="93">
        <f>1/0.06</f>
        <v>16.666666666666668</v>
      </c>
      <c r="AT16" s="93">
        <f>1/0.0633</f>
        <v>15.797788309636653</v>
      </c>
      <c r="AU16" s="93">
        <f>1/0.0645</f>
        <v>15.503875968992247</v>
      </c>
      <c r="AV16" s="93">
        <f>1/0.0619</f>
        <v>16.155088852988694</v>
      </c>
      <c r="AW16" s="93">
        <f>1/0.0601</f>
        <v>16.638935108153078</v>
      </c>
      <c r="AX16" s="93">
        <f>1/0.0597</f>
        <v>16.75041876046901</v>
      </c>
      <c r="AY16" s="93">
        <f>1/0.0595</f>
        <v>16.80672268907563</v>
      </c>
      <c r="AZ16" s="93">
        <f>1/0.0627</f>
        <v>15.948963317384369</v>
      </c>
      <c r="BA16" s="93">
        <f>1/0.06</f>
        <v>16.666666666666668</v>
      </c>
      <c r="BB16" s="93">
        <f>1/0.0581</f>
        <v>17.21170395869191</v>
      </c>
      <c r="BC16" s="93">
        <f>1/0.0585</f>
        <v>17.094017094017094</v>
      </c>
      <c r="BD16" s="93">
        <f>1/0.0574</f>
        <v>17.421602787456447</v>
      </c>
      <c r="BE16" s="93">
        <f>1/0.062</f>
        <v>16.129032258064516</v>
      </c>
      <c r="BF16" s="93">
        <f>1/0.062</f>
        <v>16.129032258064516</v>
      </c>
    </row>
    <row r="17" spans="2:58" ht="19.5" customHeight="1">
      <c r="B17" s="74" t="s">
        <v>36</v>
      </c>
      <c r="C17" s="95"/>
      <c r="D17" s="95"/>
      <c r="E17" s="95"/>
      <c r="F17" s="77"/>
      <c r="G17" s="77"/>
      <c r="H17" s="77"/>
      <c r="I17" s="77"/>
      <c r="J17" s="77"/>
      <c r="K17" s="77"/>
      <c r="L17" s="77"/>
      <c r="M17" s="77"/>
      <c r="N17" s="77"/>
      <c r="O17" s="79"/>
      <c r="P17" s="80"/>
      <c r="Q17" s="77"/>
      <c r="R17" s="80"/>
      <c r="S17" s="80"/>
      <c r="T17" s="80"/>
      <c r="U17" s="80"/>
      <c r="V17" s="80"/>
      <c r="W17" s="80"/>
      <c r="X17" s="80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</row>
    <row r="18" spans="2:58" ht="19.5" customHeight="1">
      <c r="B18" s="68"/>
      <c r="C18" s="96"/>
      <c r="D18" s="96"/>
      <c r="E18" s="97"/>
      <c r="F18" s="69"/>
      <c r="G18" s="69"/>
      <c r="H18" s="69"/>
      <c r="I18" s="98"/>
      <c r="J18" s="98"/>
      <c r="K18" s="69"/>
      <c r="L18" s="69"/>
      <c r="M18" s="72"/>
      <c r="N18" s="98"/>
      <c r="O18" s="72"/>
      <c r="P18" s="70"/>
      <c r="Q18" s="69"/>
      <c r="R18" s="70"/>
      <c r="S18" s="70"/>
      <c r="T18" s="73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</row>
    <row r="19" spans="2:58" ht="19.5" customHeight="1">
      <c r="B19" s="167" t="s">
        <v>38</v>
      </c>
      <c r="C19" s="96"/>
      <c r="D19" s="96"/>
      <c r="E19" s="68"/>
      <c r="F19" s="69"/>
      <c r="G19" s="69"/>
      <c r="H19" s="69"/>
      <c r="I19" s="70"/>
      <c r="J19" s="70"/>
      <c r="K19" s="69"/>
      <c r="L19" s="69"/>
      <c r="M19" s="71"/>
      <c r="N19" s="70"/>
      <c r="O19" s="72"/>
      <c r="P19" s="70"/>
      <c r="Q19" s="69"/>
      <c r="R19" s="70"/>
      <c r="S19" s="70"/>
      <c r="T19" s="73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</row>
    <row r="20" spans="2:58" ht="19.5" customHeight="1" thickBot="1">
      <c r="B20" s="168" t="s">
        <v>37</v>
      </c>
      <c r="C20" s="99"/>
      <c r="D20" s="99"/>
      <c r="E20" s="100"/>
      <c r="F20" s="101"/>
      <c r="G20" s="101"/>
      <c r="H20" s="101"/>
      <c r="I20" s="102"/>
      <c r="J20" s="102"/>
      <c r="K20" s="101"/>
      <c r="L20" s="101"/>
      <c r="M20" s="103"/>
      <c r="N20" s="102"/>
      <c r="O20" s="104"/>
      <c r="P20" s="102"/>
      <c r="Q20" s="101"/>
      <c r="R20" s="102"/>
      <c r="S20" s="102"/>
      <c r="T20" s="105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</row>
    <row r="21" ht="19.5" customHeight="1">
      <c r="B21" s="111" t="s">
        <v>133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72"/>
  <sheetViews>
    <sheetView showGridLines="0" zoomScale="70" zoomScaleNormal="70" zoomScaleSheetLayoutView="50" zoomScalePageLayoutView="0" workbookViewId="0" topLeftCell="A48">
      <selection activeCell="A3" sqref="A3:R70"/>
    </sheetView>
  </sheetViews>
  <sheetFormatPr defaultColWidth="9.140625" defaultRowHeight="12"/>
  <cols>
    <col min="11" max="11" width="8.7109375" style="0" customWidth="1"/>
  </cols>
  <sheetData>
    <row r="2" spans="1:15" ht="12.7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17"/>
      <c r="L2" s="17"/>
      <c r="M2" s="17"/>
      <c r="N2" s="17"/>
      <c r="O2" s="17"/>
    </row>
    <row r="3" spans="1:15" ht="13.5" customHeight="1">
      <c r="A3" s="18"/>
      <c r="B3" s="14"/>
      <c r="C3" s="19"/>
      <c r="D3" s="19"/>
      <c r="E3" s="19"/>
      <c r="F3" s="19"/>
      <c r="G3" s="19"/>
      <c r="H3" s="19"/>
      <c r="I3" s="18"/>
      <c r="J3" s="18"/>
      <c r="K3" s="17"/>
      <c r="L3" s="17"/>
      <c r="M3" s="17"/>
      <c r="N3" s="17"/>
      <c r="O3" s="17"/>
    </row>
    <row r="4" spans="1:15" ht="18">
      <c r="A4" s="234" t="s">
        <v>145</v>
      </c>
      <c r="B4" s="234"/>
      <c r="C4" s="234"/>
      <c r="D4" s="234"/>
      <c r="E4" s="234"/>
      <c r="F4" s="234"/>
      <c r="G4" s="234"/>
      <c r="H4" s="234"/>
      <c r="I4" s="234"/>
      <c r="J4" s="234"/>
      <c r="K4" s="20"/>
      <c r="L4" s="17"/>
      <c r="M4" s="17"/>
      <c r="N4" s="17"/>
      <c r="O4" s="17"/>
    </row>
    <row r="5" spans="1:15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0"/>
      <c r="L5" s="17"/>
      <c r="M5" s="17"/>
      <c r="N5" s="17"/>
      <c r="O5" s="17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8">
      <c r="A38" s="234" t="s">
        <v>141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0"/>
      <c r="L38" s="17"/>
      <c r="M38" s="17"/>
      <c r="N38" s="17"/>
      <c r="O38" s="17"/>
    </row>
    <row r="39" spans="1:15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102"/>
  <sheetViews>
    <sheetView zoomScalePageLayoutView="0" workbookViewId="0" topLeftCell="A43">
      <selection activeCell="B76" sqref="B76:I102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8" width="9.8515625" style="0" customWidth="1"/>
    <col min="9" max="9" width="8.421875" style="0" customWidth="1"/>
    <col min="10" max="10" width="9.7109375" style="0" bestFit="1" customWidth="1"/>
  </cols>
  <sheetData>
    <row r="1" ht="12" thickBot="1">
      <c r="B1" t="s">
        <v>168</v>
      </c>
    </row>
    <row r="2" spans="1:9" ht="11.25">
      <c r="A2" s="193"/>
      <c r="B2" s="246" t="s">
        <v>86</v>
      </c>
      <c r="C2" s="247"/>
      <c r="D2" s="247"/>
      <c r="E2" s="247"/>
      <c r="F2" s="247"/>
      <c r="G2" s="247"/>
      <c r="H2" s="247"/>
      <c r="I2" s="248"/>
    </row>
    <row r="3" spans="1:9" ht="11.25">
      <c r="A3" s="193"/>
      <c r="B3" s="249" t="s">
        <v>158</v>
      </c>
      <c r="C3" s="250"/>
      <c r="D3" s="250"/>
      <c r="E3" s="250"/>
      <c r="F3" s="250"/>
      <c r="G3" s="250"/>
      <c r="H3" s="250"/>
      <c r="I3" s="251"/>
    </row>
    <row r="4" spans="1:9" ht="11.25">
      <c r="A4" s="193"/>
      <c r="B4" s="195"/>
      <c r="C4" s="133"/>
      <c r="D4" s="49"/>
      <c r="E4" s="133"/>
      <c r="F4" s="239" t="s">
        <v>87</v>
      </c>
      <c r="G4" s="240"/>
      <c r="H4" s="239" t="s">
        <v>150</v>
      </c>
      <c r="I4" s="241"/>
    </row>
    <row r="5" spans="1:9" ht="11.25">
      <c r="A5" s="193"/>
      <c r="B5" s="196"/>
      <c r="C5" s="12">
        <v>38988</v>
      </c>
      <c r="D5" s="132">
        <v>39324</v>
      </c>
      <c r="E5" s="12">
        <v>39355</v>
      </c>
      <c r="F5" s="12" t="s">
        <v>153</v>
      </c>
      <c r="G5" s="112" t="s">
        <v>151</v>
      </c>
      <c r="H5" s="112" t="s">
        <v>153</v>
      </c>
      <c r="I5" s="136" t="s">
        <v>151</v>
      </c>
    </row>
    <row r="6" spans="1:10" ht="11.25">
      <c r="A6" s="193"/>
      <c r="B6" s="197" t="s">
        <v>58</v>
      </c>
      <c r="C6" s="43">
        <v>4630.636414070001</v>
      </c>
      <c r="D6" s="43">
        <v>6907.92574705</v>
      </c>
      <c r="E6" s="43">
        <v>6292.55221106</v>
      </c>
      <c r="F6" s="43">
        <v>-615.4035359899999</v>
      </c>
      <c r="G6" s="43">
        <v>1661.885796989999</v>
      </c>
      <c r="H6" s="43">
        <v>-8.908658814880942</v>
      </c>
      <c r="I6" s="198">
        <v>35.888928613363525</v>
      </c>
      <c r="J6" s="63"/>
    </row>
    <row r="7" spans="1:10" ht="11.25">
      <c r="A7" s="193"/>
      <c r="B7" s="197" t="s">
        <v>165</v>
      </c>
      <c r="C7" s="43">
        <v>3517.00006375</v>
      </c>
      <c r="D7" s="43">
        <v>6422.50512888</v>
      </c>
      <c r="E7" s="43">
        <v>5947.22375976</v>
      </c>
      <c r="F7" s="43">
        <v>-475.2813691199999</v>
      </c>
      <c r="G7" s="43">
        <v>2430.2236960099995</v>
      </c>
      <c r="H7" s="43">
        <v>-7.400248961776739</v>
      </c>
      <c r="I7" s="198">
        <v>69.09933613759375</v>
      </c>
      <c r="J7" s="63"/>
    </row>
    <row r="8" spans="1:10" ht="11.25">
      <c r="A8" s="193"/>
      <c r="B8" s="199" t="s">
        <v>59</v>
      </c>
      <c r="C8" s="13">
        <v>3337.67077202</v>
      </c>
      <c r="D8" s="13">
        <v>6146.92110229</v>
      </c>
      <c r="E8" s="13">
        <v>5637.98354606</v>
      </c>
      <c r="F8" s="13">
        <v>-508.93755623000015</v>
      </c>
      <c r="G8" s="13">
        <v>2300.3127740399996</v>
      </c>
      <c r="H8" s="13">
        <v>-8.2795524419599</v>
      </c>
      <c r="I8" s="200">
        <v>68.91970272573712</v>
      </c>
      <c r="J8" s="63"/>
    </row>
    <row r="9" spans="1:10" ht="11.25">
      <c r="A9" s="193"/>
      <c r="B9" s="199" t="s">
        <v>60</v>
      </c>
      <c r="C9" s="13">
        <v>7E-08</v>
      </c>
      <c r="D9" s="13">
        <v>0</v>
      </c>
      <c r="E9" s="13">
        <v>0</v>
      </c>
      <c r="F9" s="13">
        <v>0</v>
      </c>
      <c r="G9" s="13">
        <v>-7E-08</v>
      </c>
      <c r="H9" s="13">
        <v>0</v>
      </c>
      <c r="I9" s="200">
        <v>0</v>
      </c>
      <c r="J9" s="63"/>
    </row>
    <row r="10" spans="1:10" ht="11.25">
      <c r="A10" s="193"/>
      <c r="B10" s="199" t="s">
        <v>61</v>
      </c>
      <c r="C10" s="13">
        <v>179.32929166</v>
      </c>
      <c r="D10" s="13">
        <v>275.58402659</v>
      </c>
      <c r="E10" s="13">
        <v>309.2402137</v>
      </c>
      <c r="F10" s="13">
        <v>33.65618711000002</v>
      </c>
      <c r="G10" s="13">
        <v>129.91092204000003</v>
      </c>
      <c r="H10" s="13">
        <v>12.212677028655218</v>
      </c>
      <c r="I10" s="200">
        <v>72.44266725053768</v>
      </c>
      <c r="J10" s="63"/>
    </row>
    <row r="11" spans="1:10" ht="11.25">
      <c r="A11" s="193"/>
      <c r="B11" s="197" t="s">
        <v>62</v>
      </c>
      <c r="C11" s="43">
        <v>1113.63635032</v>
      </c>
      <c r="D11" s="43">
        <v>485.4206181700001</v>
      </c>
      <c r="E11" s="43">
        <v>345.29845129999995</v>
      </c>
      <c r="F11" s="43">
        <v>-140.12216687000017</v>
      </c>
      <c r="G11" s="43">
        <v>-768.3378990200001</v>
      </c>
      <c r="H11" s="43">
        <v>-28.86613415768172</v>
      </c>
      <c r="I11" s="198">
        <v>-68.99360808393338</v>
      </c>
      <c r="J11" s="63"/>
    </row>
    <row r="12" spans="1:10" ht="11.25">
      <c r="A12" s="193"/>
      <c r="B12" s="199" t="s">
        <v>126</v>
      </c>
      <c r="C12" s="13">
        <v>1099.16587733</v>
      </c>
      <c r="D12" s="13">
        <v>468.8634384500001</v>
      </c>
      <c r="E12" s="13">
        <v>329.08342892999997</v>
      </c>
      <c r="F12" s="13">
        <v>-139.78000952000014</v>
      </c>
      <c r="G12" s="13">
        <v>-770.0824484000001</v>
      </c>
      <c r="H12" s="13">
        <v>-29.81252067384358</v>
      </c>
      <c r="I12" s="200">
        <v>-70.06062181175226</v>
      </c>
      <c r="J12" s="63"/>
    </row>
    <row r="13" spans="1:10" ht="11.25">
      <c r="A13" s="193"/>
      <c r="B13" s="199" t="s">
        <v>88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200">
        <v>0</v>
      </c>
      <c r="J13" s="63"/>
    </row>
    <row r="14" spans="1:10" ht="11.25">
      <c r="A14" s="193"/>
      <c r="B14" s="199" t="s">
        <v>63</v>
      </c>
      <c r="C14" s="13">
        <v>14.470472990000003</v>
      </c>
      <c r="D14" s="13">
        <v>16.55717972</v>
      </c>
      <c r="E14" s="13">
        <v>16.21502237</v>
      </c>
      <c r="F14" s="13">
        <v>-0.3421573500000008</v>
      </c>
      <c r="G14" s="13">
        <v>1.744549379999997</v>
      </c>
      <c r="H14" s="13">
        <v>-2.066519514713589</v>
      </c>
      <c r="I14" s="200">
        <v>12.055925063441872</v>
      </c>
      <c r="J14" s="63"/>
    </row>
    <row r="15" spans="1:10" ht="11.25">
      <c r="A15" s="193"/>
      <c r="B15" s="201"/>
      <c r="C15" s="43"/>
      <c r="D15" s="43"/>
      <c r="E15" s="43"/>
      <c r="F15" s="43"/>
      <c r="G15" s="43"/>
      <c r="H15" s="43"/>
      <c r="I15" s="198"/>
      <c r="J15" s="63"/>
    </row>
    <row r="16" spans="1:10" ht="11.25">
      <c r="A16" s="193"/>
      <c r="B16" s="197" t="s">
        <v>64</v>
      </c>
      <c r="C16" s="43">
        <v>4630.581614830001</v>
      </c>
      <c r="D16" s="43">
        <v>6907.962382549998</v>
      </c>
      <c r="E16" s="43">
        <v>6292.568260810002</v>
      </c>
      <c r="F16" s="43">
        <v>-615.3941217399961</v>
      </c>
      <c r="G16" s="43">
        <v>1661.9866459800014</v>
      </c>
      <c r="H16" s="43">
        <v>-8.908475287800135</v>
      </c>
      <c r="I16" s="198">
        <v>35.89153122055526</v>
      </c>
      <c r="J16" s="63"/>
    </row>
    <row r="17" spans="1:10" ht="11.25">
      <c r="A17" s="193"/>
      <c r="B17" s="197" t="s">
        <v>65</v>
      </c>
      <c r="C17" s="43">
        <v>1458.9533965100013</v>
      </c>
      <c r="D17" s="43">
        <v>1570.4565802599973</v>
      </c>
      <c r="E17" s="43">
        <v>1566.4843922800032</v>
      </c>
      <c r="F17" s="43">
        <v>-3.9721879799940325</v>
      </c>
      <c r="G17" s="43">
        <v>107.53099577000194</v>
      </c>
      <c r="H17" s="43">
        <v>-0.2529320472735653</v>
      </c>
      <c r="I17" s="198">
        <v>7.370420194862255</v>
      </c>
      <c r="J17" s="63"/>
    </row>
    <row r="18" spans="1:10" ht="11.25">
      <c r="A18" s="193"/>
      <c r="B18" s="199" t="s">
        <v>66</v>
      </c>
      <c r="C18" s="13">
        <v>1041.3235417</v>
      </c>
      <c r="D18" s="13">
        <v>1176.7384982</v>
      </c>
      <c r="E18" s="13">
        <v>1136.5449169</v>
      </c>
      <c r="F18" s="13">
        <v>-40.193581300000005</v>
      </c>
      <c r="G18" s="13">
        <v>95.22137520000001</v>
      </c>
      <c r="H18" s="13">
        <v>-3.4156765807766285</v>
      </c>
      <c r="I18" s="200">
        <v>9.14426413951494</v>
      </c>
      <c r="J18" s="63"/>
    </row>
    <row r="19" spans="1:10" ht="11.25">
      <c r="A19" s="193"/>
      <c r="B19" s="199" t="s">
        <v>67</v>
      </c>
      <c r="C19" s="13">
        <v>417.62985481000135</v>
      </c>
      <c r="D19" s="13">
        <v>393.7180820599971</v>
      </c>
      <c r="E19" s="13">
        <v>429.9394753800031</v>
      </c>
      <c r="F19" s="13">
        <v>36.22139332000603</v>
      </c>
      <c r="G19" s="13">
        <v>12.309620570001755</v>
      </c>
      <c r="H19" s="13">
        <v>9.199829769181493</v>
      </c>
      <c r="I19" s="200">
        <v>2.9474953546129874</v>
      </c>
      <c r="J19" s="63"/>
    </row>
    <row r="20" spans="1:10" ht="11.25">
      <c r="A20" s="193"/>
      <c r="B20" s="197" t="s">
        <v>127</v>
      </c>
      <c r="C20" s="43">
        <v>2919.4864174900003</v>
      </c>
      <c r="D20" s="43">
        <v>5445.985397330001</v>
      </c>
      <c r="E20" s="43">
        <v>4799.51579306</v>
      </c>
      <c r="F20" s="43">
        <v>-646.4696042700016</v>
      </c>
      <c r="G20" s="43">
        <v>1880.0293755699995</v>
      </c>
      <c r="H20" s="43">
        <v>-11.87057175340473</v>
      </c>
      <c r="I20" s="198">
        <v>64.39589389103362</v>
      </c>
      <c r="J20" s="63"/>
    </row>
    <row r="21" spans="1:10" ht="11.25">
      <c r="A21" s="193"/>
      <c r="B21" s="199" t="s">
        <v>89</v>
      </c>
      <c r="C21" s="13">
        <v>1766.1223288900003</v>
      </c>
      <c r="D21" s="13">
        <v>4243.003442060001</v>
      </c>
      <c r="E21" s="13">
        <v>3608.6492994100004</v>
      </c>
      <c r="F21" s="13">
        <v>-634.354142650001</v>
      </c>
      <c r="G21" s="13">
        <v>1842.52697052</v>
      </c>
      <c r="H21" s="13">
        <v>-14.950592223465616</v>
      </c>
      <c r="I21" s="200">
        <v>104.32612398247747</v>
      </c>
      <c r="J21" s="63"/>
    </row>
    <row r="22" spans="1:10" ht="11.25">
      <c r="A22" s="193"/>
      <c r="B22" s="202" t="s">
        <v>68</v>
      </c>
      <c r="C22" s="13">
        <v>1153.3640886</v>
      </c>
      <c r="D22" s="13">
        <v>1202.9819552700003</v>
      </c>
      <c r="E22" s="13">
        <v>1190.86649365</v>
      </c>
      <c r="F22" s="13">
        <v>-12.11546162000036</v>
      </c>
      <c r="G22" s="13">
        <v>37.50240504999988</v>
      </c>
      <c r="H22" s="13">
        <v>-1.0071191481239745</v>
      </c>
      <c r="I22" s="200">
        <v>3.2515669094155526</v>
      </c>
      <c r="J22" s="63"/>
    </row>
    <row r="23" spans="1:10" ht="11.25">
      <c r="A23" s="193"/>
      <c r="B23" s="203" t="s">
        <v>0</v>
      </c>
      <c r="C23" s="13">
        <v>3.96938004</v>
      </c>
      <c r="D23" s="13">
        <v>4.34088212</v>
      </c>
      <c r="E23" s="13">
        <v>4.74697598</v>
      </c>
      <c r="F23" s="13">
        <v>0.40609386000000036</v>
      </c>
      <c r="G23" s="13">
        <v>0.7775959400000003</v>
      </c>
      <c r="H23" s="13">
        <v>9.355099926095214</v>
      </c>
      <c r="I23" s="200">
        <v>19.589858672237398</v>
      </c>
      <c r="J23" s="63"/>
    </row>
    <row r="24" spans="1:10" ht="11.25">
      <c r="A24" s="193"/>
      <c r="B24" s="203" t="s">
        <v>129</v>
      </c>
      <c r="C24" s="13">
        <v>397.7582178100001</v>
      </c>
      <c r="D24" s="13">
        <v>63.462657969999995</v>
      </c>
      <c r="E24" s="13">
        <v>78.57367871</v>
      </c>
      <c r="F24" s="13">
        <v>15.11102074</v>
      </c>
      <c r="G24" s="13">
        <v>-319.18453910000005</v>
      </c>
      <c r="H24" s="13">
        <v>23.810885366861356</v>
      </c>
      <c r="I24" s="200">
        <v>-80.24586917584871</v>
      </c>
      <c r="J24" s="63"/>
    </row>
    <row r="25" spans="1:10" ht="12" thickBot="1">
      <c r="A25" s="193"/>
      <c r="B25" s="204" t="s">
        <v>115</v>
      </c>
      <c r="C25" s="45">
        <v>-149.58579702</v>
      </c>
      <c r="D25" s="45">
        <v>-176.28313513000006</v>
      </c>
      <c r="E25" s="45">
        <v>-156.75257922000003</v>
      </c>
      <c r="F25" s="45">
        <v>19.530555910000032</v>
      </c>
      <c r="G25" s="45">
        <v>-7.1667822000000285</v>
      </c>
      <c r="H25" s="45">
        <v>-11.079083597870673</v>
      </c>
      <c r="I25" s="205">
        <v>4.791084677004336</v>
      </c>
      <c r="J25" s="63"/>
    </row>
    <row r="26" spans="2:10" ht="12" customHeight="1" hidden="1">
      <c r="B26" s="110" t="s">
        <v>84</v>
      </c>
      <c r="C26" s="126">
        <v>-0.00814266000270436</v>
      </c>
      <c r="D26" s="126">
        <v>-0.03842623300442938</v>
      </c>
      <c r="E26" s="126">
        <v>-0.0723114330030512</v>
      </c>
      <c r="F26" s="126">
        <v>-0.03388519999862183</v>
      </c>
      <c r="G26" s="126">
        <v>-0.06416877300034685</v>
      </c>
      <c r="H26" s="126">
        <v>-0.00040083159207271457</v>
      </c>
      <c r="I26" s="126">
        <v>0.00814266000270436</v>
      </c>
      <c r="J26" s="63">
        <f>(E26-C26)/C26*100</f>
        <v>788.0566421665027</v>
      </c>
    </row>
    <row r="27" spans="2:9" ht="11.25">
      <c r="B27" s="50"/>
      <c r="C27" s="51"/>
      <c r="D27" s="51"/>
      <c r="E27" s="51"/>
      <c r="F27" s="51"/>
      <c r="G27" s="51"/>
      <c r="H27" s="51"/>
      <c r="I27" s="52"/>
    </row>
    <row r="28" spans="2:9" ht="11.25">
      <c r="B28" s="50"/>
      <c r="C28" s="51"/>
      <c r="D28" s="51"/>
      <c r="E28" s="51"/>
      <c r="F28" s="51"/>
      <c r="G28" s="51"/>
      <c r="H28" s="51"/>
      <c r="I28" s="52"/>
    </row>
    <row r="29" spans="2:9" ht="12" thickBot="1">
      <c r="B29" s="50"/>
      <c r="C29" s="51"/>
      <c r="D29" s="51"/>
      <c r="E29" s="51"/>
      <c r="F29" s="51"/>
      <c r="G29" s="51"/>
      <c r="H29" s="51"/>
      <c r="I29" s="52"/>
    </row>
    <row r="30" spans="1:10" ht="11.25">
      <c r="A30" s="193"/>
      <c r="B30" s="246" t="s">
        <v>86</v>
      </c>
      <c r="C30" s="247"/>
      <c r="D30" s="247"/>
      <c r="E30" s="247"/>
      <c r="F30" s="247"/>
      <c r="G30" s="247"/>
      <c r="H30" s="247"/>
      <c r="I30" s="248"/>
      <c r="J30" s="193"/>
    </row>
    <row r="31" spans="1:10" ht="11.25">
      <c r="A31" s="193"/>
      <c r="B31" s="249" t="s">
        <v>159</v>
      </c>
      <c r="C31" s="250"/>
      <c r="D31" s="250"/>
      <c r="E31" s="250"/>
      <c r="F31" s="250"/>
      <c r="G31" s="250"/>
      <c r="H31" s="250"/>
      <c r="I31" s="251"/>
      <c r="J31" s="193"/>
    </row>
    <row r="32" spans="1:10" ht="11.25">
      <c r="A32" s="193"/>
      <c r="B32" s="195"/>
      <c r="C32" s="133"/>
      <c r="D32" s="49"/>
      <c r="E32" s="133"/>
      <c r="F32" s="239" t="s">
        <v>87</v>
      </c>
      <c r="G32" s="242"/>
      <c r="H32" s="239" t="s">
        <v>150</v>
      </c>
      <c r="I32" s="241"/>
      <c r="J32" s="193"/>
    </row>
    <row r="33" spans="1:10" ht="11.25">
      <c r="A33" s="193"/>
      <c r="B33" s="196"/>
      <c r="C33" s="12">
        <v>38988</v>
      </c>
      <c r="D33" s="132">
        <v>39324</v>
      </c>
      <c r="E33" s="12">
        <v>39355</v>
      </c>
      <c r="F33" s="12" t="s">
        <v>153</v>
      </c>
      <c r="G33" s="112" t="s">
        <v>151</v>
      </c>
      <c r="H33" s="112" t="s">
        <v>153</v>
      </c>
      <c r="I33" s="136" t="s">
        <v>151</v>
      </c>
      <c r="J33" s="193"/>
    </row>
    <row r="34" spans="1:10" ht="11.25">
      <c r="A34" s="193"/>
      <c r="B34" s="206" t="s">
        <v>58</v>
      </c>
      <c r="C34" s="43">
        <v>34324.3627876</v>
      </c>
      <c r="D34" s="43">
        <v>39350.697686013016</v>
      </c>
      <c r="E34" s="43">
        <v>39893.2168125215</v>
      </c>
      <c r="F34" s="43">
        <v>542.5191265084868</v>
      </c>
      <c r="G34" s="43">
        <v>5568.8540249215</v>
      </c>
      <c r="H34" s="43">
        <v>1.378677274891932</v>
      </c>
      <c r="I34" s="198">
        <v>16.2242022069913</v>
      </c>
      <c r="J34" s="193"/>
    </row>
    <row r="35" spans="1:10" ht="11.25">
      <c r="A35" s="193"/>
      <c r="B35" s="206" t="s">
        <v>165</v>
      </c>
      <c r="C35" s="43">
        <v>1795.43810797</v>
      </c>
      <c r="D35" s="43">
        <v>2887.914336713013</v>
      </c>
      <c r="E35" s="43">
        <v>2855.738144771507</v>
      </c>
      <c r="F35" s="43">
        <v>-32.176191941506204</v>
      </c>
      <c r="G35" s="43">
        <v>1060.300036801507</v>
      </c>
      <c r="H35" s="43">
        <v>-1.1141671182022916</v>
      </c>
      <c r="I35" s="198">
        <v>59.05522624783364</v>
      </c>
      <c r="J35" s="193"/>
    </row>
    <row r="36" spans="1:10" ht="11.25">
      <c r="A36" s="193"/>
      <c r="B36" s="207" t="s">
        <v>69</v>
      </c>
      <c r="C36" s="13">
        <v>51.972107969999996</v>
      </c>
      <c r="D36" s="13">
        <v>107.957885</v>
      </c>
      <c r="E36" s="13">
        <v>84.807518</v>
      </c>
      <c r="F36" s="13">
        <v>-23.150367000000003</v>
      </c>
      <c r="G36" s="13">
        <v>32.835410030000006</v>
      </c>
      <c r="H36" s="13">
        <v>-21.4438871232055</v>
      </c>
      <c r="I36" s="200">
        <v>63.17890751892088</v>
      </c>
      <c r="J36" s="193"/>
    </row>
    <row r="37" spans="1:10" ht="11.25">
      <c r="A37" s="193"/>
      <c r="B37" s="207" t="s">
        <v>59</v>
      </c>
      <c r="C37" s="13">
        <v>1700.023</v>
      </c>
      <c r="D37" s="13">
        <v>2732.6434517130133</v>
      </c>
      <c r="E37" s="13">
        <v>2722.224626771507</v>
      </c>
      <c r="F37" s="13">
        <v>-10.4188249415065</v>
      </c>
      <c r="G37" s="13">
        <v>1022.2016267715069</v>
      </c>
      <c r="H37" s="13">
        <v>-0.38127275385946335</v>
      </c>
      <c r="I37" s="200">
        <v>60.12869395128813</v>
      </c>
      <c r="J37" s="193"/>
    </row>
    <row r="38" spans="1:10" ht="11.25">
      <c r="A38" s="193"/>
      <c r="B38" s="207" t="s">
        <v>70</v>
      </c>
      <c r="C38" s="13">
        <v>43.443</v>
      </c>
      <c r="D38" s="13">
        <v>47.313</v>
      </c>
      <c r="E38" s="13">
        <v>48.705999999999996</v>
      </c>
      <c r="F38" s="13">
        <v>1.3929999999999936</v>
      </c>
      <c r="G38" s="13">
        <v>5.262999999999998</v>
      </c>
      <c r="H38" s="13">
        <v>2.9442225181239694</v>
      </c>
      <c r="I38" s="200">
        <v>12.114725042009065</v>
      </c>
      <c r="J38" s="193"/>
    </row>
    <row r="39" spans="1:10" ht="11.25">
      <c r="A39" s="193"/>
      <c r="B39" s="207" t="s">
        <v>71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200">
        <v>0</v>
      </c>
      <c r="J39" s="193"/>
    </row>
    <row r="40" spans="1:10" ht="11.25">
      <c r="A40" s="193"/>
      <c r="B40" s="206" t="s">
        <v>62</v>
      </c>
      <c r="C40" s="43">
        <v>30877.894075490003</v>
      </c>
      <c r="D40" s="43">
        <v>34678.75076246</v>
      </c>
      <c r="E40" s="43">
        <v>35068.279083609996</v>
      </c>
      <c r="F40" s="43">
        <v>389.5283211499991</v>
      </c>
      <c r="G40" s="43">
        <v>4190.385008119993</v>
      </c>
      <c r="H40" s="43">
        <v>1.1232478465506501</v>
      </c>
      <c r="I40" s="198">
        <v>13.570825127760902</v>
      </c>
      <c r="J40" s="193"/>
    </row>
    <row r="41" spans="1:10" ht="11.25">
      <c r="A41" s="193"/>
      <c r="B41" s="207" t="s">
        <v>90</v>
      </c>
      <c r="C41" s="13">
        <v>671.86910803</v>
      </c>
      <c r="D41" s="13">
        <v>669.8613648999999</v>
      </c>
      <c r="E41" s="13">
        <v>651.91817044</v>
      </c>
      <c r="F41" s="13">
        <v>-17.94319445999986</v>
      </c>
      <c r="G41" s="13">
        <v>-19.950937589999967</v>
      </c>
      <c r="H41" s="13">
        <v>-2.678642984982199</v>
      </c>
      <c r="I41" s="200">
        <v>-2.969467914442217</v>
      </c>
      <c r="J41" s="193"/>
    </row>
    <row r="42" spans="1:10" ht="11.25">
      <c r="A42" s="193"/>
      <c r="B42" s="207" t="s">
        <v>88</v>
      </c>
      <c r="C42" s="13">
        <v>2463.99993404</v>
      </c>
      <c r="D42" s="13">
        <v>3026.87638661</v>
      </c>
      <c r="E42" s="13">
        <v>3037.27378916</v>
      </c>
      <c r="F42" s="13">
        <v>10.397402550000152</v>
      </c>
      <c r="G42" s="13">
        <v>573.27385512</v>
      </c>
      <c r="H42" s="13">
        <v>0.3435027144152687</v>
      </c>
      <c r="I42" s="200">
        <v>23.265985002688463</v>
      </c>
      <c r="J42" s="193"/>
    </row>
    <row r="43" spans="1:10" ht="11.25">
      <c r="A43" s="193"/>
      <c r="B43" s="207" t="s">
        <v>51</v>
      </c>
      <c r="C43" s="13">
        <v>731.942</v>
      </c>
      <c r="D43" s="13">
        <v>1027.719</v>
      </c>
      <c r="E43" s="13">
        <v>1193.1399999999999</v>
      </c>
      <c r="F43" s="13">
        <v>165.42099999999982</v>
      </c>
      <c r="G43" s="13">
        <v>461.19799999999987</v>
      </c>
      <c r="H43" s="13">
        <v>16.095936729787013</v>
      </c>
      <c r="I43" s="200">
        <v>63.01018386702769</v>
      </c>
      <c r="J43" s="193"/>
    </row>
    <row r="44" spans="1:10" ht="11.25">
      <c r="A44" s="193"/>
      <c r="B44" s="207" t="s">
        <v>91</v>
      </c>
      <c r="C44" s="13">
        <v>31.297</v>
      </c>
      <c r="D44" s="13">
        <v>40.082</v>
      </c>
      <c r="E44" s="13">
        <v>47.732</v>
      </c>
      <c r="F44" s="13">
        <v>7.649999999999999</v>
      </c>
      <c r="G44" s="13">
        <v>16.435</v>
      </c>
      <c r="H44" s="13">
        <v>19.085873958385307</v>
      </c>
      <c r="I44" s="200">
        <v>52.51302041729239</v>
      </c>
      <c r="J44" s="193"/>
    </row>
    <row r="45" spans="1:10" ht="11.25">
      <c r="A45" s="193"/>
      <c r="B45" s="207" t="s">
        <v>100</v>
      </c>
      <c r="C45" s="13">
        <v>204.046</v>
      </c>
      <c r="D45" s="13">
        <v>115.34100000000001</v>
      </c>
      <c r="E45" s="13">
        <v>132.086</v>
      </c>
      <c r="F45" s="13">
        <v>16.745000000000005</v>
      </c>
      <c r="G45" s="13">
        <v>-71.95999999999998</v>
      </c>
      <c r="H45" s="13">
        <v>14.517821069697682</v>
      </c>
      <c r="I45" s="200">
        <v>-35.26655754094664</v>
      </c>
      <c r="J45" s="193"/>
    </row>
    <row r="46" spans="1:10" ht="11.25">
      <c r="A46" s="193"/>
      <c r="B46" s="207" t="s">
        <v>72</v>
      </c>
      <c r="C46" s="13">
        <v>9264.81244724</v>
      </c>
      <c r="D46" s="13">
        <v>10188.57634913</v>
      </c>
      <c r="E46" s="13">
        <v>10231.857276539999</v>
      </c>
      <c r="F46" s="13">
        <v>43.280927409998185</v>
      </c>
      <c r="G46" s="13">
        <v>967.044829299999</v>
      </c>
      <c r="H46" s="13">
        <v>0.42479857761181644</v>
      </c>
      <c r="I46" s="200">
        <v>10.437824130893043</v>
      </c>
      <c r="J46" s="193"/>
    </row>
    <row r="47" spans="1:10" ht="11.25">
      <c r="A47" s="193"/>
      <c r="B47" s="207" t="s">
        <v>52</v>
      </c>
      <c r="C47" s="13">
        <v>17509.92758618</v>
      </c>
      <c r="D47" s="13">
        <v>19610.29466182</v>
      </c>
      <c r="E47" s="13">
        <v>19774.271847469998</v>
      </c>
      <c r="F47" s="13">
        <v>163.9771856499974</v>
      </c>
      <c r="G47" s="13">
        <v>2264.344261289996</v>
      </c>
      <c r="H47" s="13">
        <v>0.8361791012210061</v>
      </c>
      <c r="I47" s="200">
        <v>12.931773990185814</v>
      </c>
      <c r="J47" s="193"/>
    </row>
    <row r="48" spans="1:10" ht="11.25">
      <c r="A48" s="193"/>
      <c r="B48" s="208" t="s">
        <v>157</v>
      </c>
      <c r="C48" s="13">
        <v>1651.03060414</v>
      </c>
      <c r="D48" s="13">
        <v>1784.0325868400002</v>
      </c>
      <c r="E48" s="13">
        <v>1969.1995841399996</v>
      </c>
      <c r="F48" s="13">
        <v>185.16699729999937</v>
      </c>
      <c r="G48" s="13">
        <v>318.1689799999997</v>
      </c>
      <c r="H48" s="13">
        <v>10.379126405307412</v>
      </c>
      <c r="I48" s="200">
        <v>19.27093169576525</v>
      </c>
      <c r="J48" s="193"/>
    </row>
    <row r="49" spans="1:10" ht="11.25">
      <c r="A49" s="193"/>
      <c r="B49" s="209"/>
      <c r="C49" s="43"/>
      <c r="D49" s="43"/>
      <c r="E49" s="43"/>
      <c r="F49" s="43"/>
      <c r="G49" s="43"/>
      <c r="H49" s="43"/>
      <c r="I49" s="200"/>
      <c r="J49" s="193"/>
    </row>
    <row r="50" spans="1:10" ht="11.25">
      <c r="A50" s="193"/>
      <c r="B50" s="206" t="s">
        <v>64</v>
      </c>
      <c r="C50" s="43">
        <v>34324.36308718946</v>
      </c>
      <c r="D50" s="43">
        <v>39350.69754097424</v>
      </c>
      <c r="E50" s="43">
        <v>39893.21630664151</v>
      </c>
      <c r="F50" s="43">
        <v>542.5187656672715</v>
      </c>
      <c r="G50" s="43">
        <v>5568.853219452052</v>
      </c>
      <c r="H50" s="43">
        <v>1.3786763629853558</v>
      </c>
      <c r="I50" s="198">
        <v>16.224199718742806</v>
      </c>
      <c r="J50" s="193"/>
    </row>
    <row r="51" spans="1:10" ht="11.25">
      <c r="A51" s="193"/>
      <c r="B51" s="210" t="s">
        <v>74</v>
      </c>
      <c r="C51" s="43">
        <v>970.41508417</v>
      </c>
      <c r="D51" s="43">
        <v>910.47527569</v>
      </c>
      <c r="E51" s="43">
        <v>898.9317172</v>
      </c>
      <c r="F51" s="43">
        <v>-11.54355849000001</v>
      </c>
      <c r="G51" s="43">
        <v>-71.48336697000002</v>
      </c>
      <c r="H51" s="43">
        <v>-1.2678607314461967</v>
      </c>
      <c r="I51" s="198">
        <v>-7.366267088803554</v>
      </c>
      <c r="J51" s="193"/>
    </row>
    <row r="52" spans="1:10" ht="11.25">
      <c r="A52" s="193"/>
      <c r="B52" s="207" t="s">
        <v>59</v>
      </c>
      <c r="C52" s="13">
        <v>587.9691234</v>
      </c>
      <c r="D52" s="13">
        <v>251.63457761</v>
      </c>
      <c r="E52" s="13">
        <v>228.48590335999998</v>
      </c>
      <c r="F52" s="13">
        <v>-23.148674250000028</v>
      </c>
      <c r="G52" s="13">
        <v>-359.48322004</v>
      </c>
      <c r="H52" s="13">
        <v>-9.199321679025124</v>
      </c>
      <c r="I52" s="200">
        <v>-61.139812574042395</v>
      </c>
      <c r="J52" s="193"/>
    </row>
    <row r="53" spans="1:10" ht="11.25">
      <c r="A53" s="193"/>
      <c r="B53" s="207" t="s">
        <v>60</v>
      </c>
      <c r="C53" s="13">
        <v>164.554</v>
      </c>
      <c r="D53" s="13">
        <v>460.637</v>
      </c>
      <c r="E53" s="13">
        <v>455.018</v>
      </c>
      <c r="F53" s="13">
        <v>-5.619000000000028</v>
      </c>
      <c r="G53" s="13">
        <v>290.46399999999994</v>
      </c>
      <c r="H53" s="13">
        <v>-1.2198325362487226</v>
      </c>
      <c r="I53" s="200">
        <v>176.51591574802188</v>
      </c>
      <c r="J53" s="193"/>
    </row>
    <row r="54" spans="1:10" ht="11.25">
      <c r="A54" s="193"/>
      <c r="B54" s="207" t="s">
        <v>70</v>
      </c>
      <c r="C54" s="13">
        <v>217.89196077000005</v>
      </c>
      <c r="D54" s="13">
        <v>198.20369808</v>
      </c>
      <c r="E54" s="13">
        <v>215.42781384000003</v>
      </c>
      <c r="F54" s="13">
        <v>17.224115760000018</v>
      </c>
      <c r="G54" s="13">
        <v>-2.4641469300000267</v>
      </c>
      <c r="H54" s="13">
        <v>8.690108169953485</v>
      </c>
      <c r="I54" s="200">
        <v>-1.130903095870115</v>
      </c>
      <c r="J54" s="193"/>
    </row>
    <row r="55" spans="1:10" ht="11.25">
      <c r="A55" s="193"/>
      <c r="B55" s="207" t="s">
        <v>75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200">
        <v>0</v>
      </c>
      <c r="J55" s="193"/>
    </row>
    <row r="56" spans="1:10" ht="11.25">
      <c r="A56" s="193"/>
      <c r="B56" s="206" t="s">
        <v>76</v>
      </c>
      <c r="C56" s="43">
        <v>33353.94800301945</v>
      </c>
      <c r="D56" s="43">
        <v>38440.22226528424</v>
      </c>
      <c r="E56" s="43">
        <v>38994.28458944151</v>
      </c>
      <c r="F56" s="43">
        <v>554.0623241572684</v>
      </c>
      <c r="G56" s="43">
        <v>5640.336586422054</v>
      </c>
      <c r="H56" s="43">
        <v>1.4413608754225333</v>
      </c>
      <c r="I56" s="198">
        <v>16.910551596205188</v>
      </c>
      <c r="J56" s="193"/>
    </row>
    <row r="57" spans="1:10" ht="11.25">
      <c r="A57" s="193"/>
      <c r="B57" s="207" t="s">
        <v>77</v>
      </c>
      <c r="C57" s="13">
        <v>20719.00316785</v>
      </c>
      <c r="D57" s="13">
        <v>24048.30521413</v>
      </c>
      <c r="E57" s="13">
        <v>24833.36809107</v>
      </c>
      <c r="F57" s="13">
        <v>785.0628769399991</v>
      </c>
      <c r="G57" s="13">
        <v>4114.364923219997</v>
      </c>
      <c r="H57" s="13">
        <v>3.2645247552776473</v>
      </c>
      <c r="I57" s="200">
        <v>19.85792892586802</v>
      </c>
      <c r="J57" s="193"/>
    </row>
    <row r="58" spans="1:10" ht="11.25">
      <c r="A58" s="193"/>
      <c r="B58" s="211" t="s">
        <v>78</v>
      </c>
      <c r="C58" s="13">
        <v>12063.77294929</v>
      </c>
      <c r="D58" s="13">
        <v>15021.560053169998</v>
      </c>
      <c r="E58" s="13">
        <v>14373.42874584</v>
      </c>
      <c r="F58" s="13">
        <v>-648.1313073299989</v>
      </c>
      <c r="G58" s="13">
        <v>2309.6557965499996</v>
      </c>
      <c r="H58" s="13">
        <v>-4.314673742513341</v>
      </c>
      <c r="I58" s="200">
        <v>19.14538516481224</v>
      </c>
      <c r="J58" s="193"/>
    </row>
    <row r="59" spans="1:10" ht="11.25">
      <c r="A59" s="193"/>
      <c r="B59" s="211" t="s">
        <v>75</v>
      </c>
      <c r="C59" s="13">
        <v>8655.23021856</v>
      </c>
      <c r="D59" s="13">
        <v>9026.74516096</v>
      </c>
      <c r="E59" s="13">
        <v>10459.939345230001</v>
      </c>
      <c r="F59" s="13">
        <v>1433.1941842700016</v>
      </c>
      <c r="G59" s="13">
        <v>1804.7091266700008</v>
      </c>
      <c r="H59" s="13">
        <v>15.877197801799698</v>
      </c>
      <c r="I59" s="200">
        <v>20.85108172859504</v>
      </c>
      <c r="J59" s="193"/>
    </row>
    <row r="60" spans="1:10" ht="11.25">
      <c r="A60" s="193"/>
      <c r="B60" s="207" t="s">
        <v>139</v>
      </c>
      <c r="C60" s="13">
        <v>767.8048602</v>
      </c>
      <c r="D60" s="13">
        <v>1053.17772884</v>
      </c>
      <c r="E60" s="13">
        <v>964.18283486</v>
      </c>
      <c r="F60" s="13">
        <v>-88.99489398000014</v>
      </c>
      <c r="G60" s="13">
        <v>196.37797465999995</v>
      </c>
      <c r="H60" s="13">
        <v>-8.450130642054276</v>
      </c>
      <c r="I60" s="200">
        <v>25.57654748484489</v>
      </c>
      <c r="J60" s="193"/>
    </row>
    <row r="61" spans="1:10" ht="11.25">
      <c r="A61" s="193"/>
      <c r="B61" s="207" t="s">
        <v>166</v>
      </c>
      <c r="C61" s="13">
        <v>5.8177571200000004</v>
      </c>
      <c r="D61" s="13">
        <v>5.868</v>
      </c>
      <c r="E61" s="13">
        <v>5.868</v>
      </c>
      <c r="F61" s="13">
        <v>0</v>
      </c>
      <c r="G61" s="13">
        <v>0.05024287999999988</v>
      </c>
      <c r="H61" s="13">
        <v>0</v>
      </c>
      <c r="I61" s="200">
        <v>0</v>
      </c>
      <c r="J61" s="193"/>
    </row>
    <row r="62" spans="1:10" ht="11.25">
      <c r="A62" s="193"/>
      <c r="B62" s="207" t="s">
        <v>167</v>
      </c>
      <c r="C62" s="13">
        <v>4018.832605479452</v>
      </c>
      <c r="D62" s="13">
        <v>5441.386807671233</v>
      </c>
      <c r="E62" s="13">
        <v>5265.25207918</v>
      </c>
      <c r="F62" s="13">
        <v>-176.13472849123355</v>
      </c>
      <c r="G62" s="13">
        <v>1246.4194737005478</v>
      </c>
      <c r="H62" s="13">
        <v>-3.236945556653313</v>
      </c>
      <c r="I62" s="200">
        <v>31.014466041733733</v>
      </c>
      <c r="J62" s="193"/>
    </row>
    <row r="63" spans="1:10" ht="11.25">
      <c r="A63" s="193"/>
      <c r="B63" s="207" t="s">
        <v>116</v>
      </c>
      <c r="C63" s="13">
        <v>514.29208597</v>
      </c>
      <c r="D63" s="13">
        <v>476.85944543</v>
      </c>
      <c r="E63" s="13">
        <v>524.36624515</v>
      </c>
      <c r="F63" s="13">
        <v>47.50679972000006</v>
      </c>
      <c r="G63" s="13">
        <v>10.074159180000038</v>
      </c>
      <c r="H63" s="13">
        <v>9.962432363515752</v>
      </c>
      <c r="I63" s="200">
        <v>1.958840016174717</v>
      </c>
      <c r="J63" s="193"/>
    </row>
    <row r="64" spans="1:10" ht="11.25">
      <c r="A64" s="193"/>
      <c r="B64" s="207" t="s">
        <v>117</v>
      </c>
      <c r="C64" s="13">
        <v>1230.03343114</v>
      </c>
      <c r="D64" s="13">
        <v>881.498</v>
      </c>
      <c r="E64" s="13">
        <v>627.2344449000001</v>
      </c>
      <c r="F64" s="13">
        <v>-254.26355509999996</v>
      </c>
      <c r="G64" s="13">
        <v>-602.7989862399999</v>
      </c>
      <c r="H64" s="13">
        <v>-28.84448462730488</v>
      </c>
      <c r="I64" s="200">
        <v>-49.00671566961585</v>
      </c>
      <c r="J64" s="193"/>
    </row>
    <row r="65" spans="1:10" ht="11.25">
      <c r="A65" s="193"/>
      <c r="B65" s="207" t="s">
        <v>70</v>
      </c>
      <c r="C65" s="13">
        <v>5.601</v>
      </c>
      <c r="D65" s="13">
        <v>4.923</v>
      </c>
      <c r="E65" s="13">
        <v>4.923</v>
      </c>
      <c r="F65" s="13">
        <v>0</v>
      </c>
      <c r="G65" s="13">
        <v>-0.6779999999999999</v>
      </c>
      <c r="H65" s="13">
        <v>0</v>
      </c>
      <c r="I65" s="200">
        <v>-13.7720901889092</v>
      </c>
      <c r="J65" s="193"/>
    </row>
    <row r="66" spans="1:10" ht="11.25">
      <c r="A66" s="193"/>
      <c r="B66" s="207" t="s">
        <v>92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200">
        <v>0</v>
      </c>
      <c r="J66" s="193"/>
    </row>
    <row r="67" spans="1:10" ht="11.25">
      <c r="A67" s="193"/>
      <c r="B67" s="207" t="s">
        <v>68</v>
      </c>
      <c r="C67" s="13">
        <v>4264.964249039999</v>
      </c>
      <c r="D67" s="13">
        <v>4630.20158214</v>
      </c>
      <c r="E67" s="13">
        <v>4623.307912442609</v>
      </c>
      <c r="F67" s="13">
        <v>-6.893669697390578</v>
      </c>
      <c r="G67" s="13">
        <v>358.3436634026102</v>
      </c>
      <c r="H67" s="13">
        <v>-0.1488848719671605</v>
      </c>
      <c r="I67" s="200">
        <v>8.402032056500117</v>
      </c>
      <c r="J67" s="193"/>
    </row>
    <row r="68" spans="1:10" ht="11.25">
      <c r="A68" s="193"/>
      <c r="B68" s="207" t="s">
        <v>118</v>
      </c>
      <c r="C68" s="13">
        <v>1827.58796105</v>
      </c>
      <c r="D68" s="13">
        <v>1898.5888277700003</v>
      </c>
      <c r="E68" s="13">
        <v>2145.777666627391</v>
      </c>
      <c r="F68" s="13">
        <v>247.18883885739092</v>
      </c>
      <c r="G68" s="13">
        <v>318.1897055773911</v>
      </c>
      <c r="H68" s="13">
        <v>13.019608840094573</v>
      </c>
      <c r="I68" s="200">
        <v>17.41036340568704</v>
      </c>
      <c r="J68" s="193"/>
    </row>
    <row r="69" spans="1:10" ht="11.25" hidden="1">
      <c r="A69" s="193"/>
      <c r="B69" s="207" t="s">
        <v>119</v>
      </c>
      <c r="C69" s="13"/>
      <c r="D69" s="13"/>
      <c r="E69" s="13"/>
      <c r="F69" s="13"/>
      <c r="G69" s="13"/>
      <c r="H69" s="13"/>
      <c r="I69" s="200"/>
      <c r="J69" s="193"/>
    </row>
    <row r="70" spans="1:10" ht="12" customHeight="1" hidden="1">
      <c r="A70" s="193"/>
      <c r="B70" s="207" t="s">
        <v>119</v>
      </c>
      <c r="C70" s="13"/>
      <c r="D70" s="13"/>
      <c r="E70" s="13"/>
      <c r="F70" s="13"/>
      <c r="G70" s="13"/>
      <c r="H70" s="13"/>
      <c r="I70" s="142"/>
      <c r="J70" s="193"/>
    </row>
    <row r="71" spans="1:10" ht="12" customHeight="1" hidden="1" thickBot="1">
      <c r="A71" s="193"/>
      <c r="B71" s="212"/>
      <c r="C71" s="45">
        <v>-0.00026830013666767627</v>
      </c>
      <c r="D71" s="45"/>
      <c r="E71" s="45">
        <v>-0.00026830013666767627</v>
      </c>
      <c r="F71" s="45"/>
      <c r="G71" s="45">
        <v>-0.0004651664348784834</v>
      </c>
      <c r="H71" s="45"/>
      <c r="I71" s="145">
        <v>-1.2624493881396859E-06</v>
      </c>
      <c r="J71" s="193"/>
    </row>
    <row r="72" spans="1:10" ht="12" customHeight="1" hidden="1">
      <c r="A72" s="193"/>
      <c r="B72" s="212"/>
      <c r="C72" s="67"/>
      <c r="D72" s="67"/>
      <c r="E72" s="67"/>
      <c r="F72" s="67"/>
      <c r="G72" s="43"/>
      <c r="H72" s="43"/>
      <c r="I72" s="140"/>
      <c r="J72" s="193"/>
    </row>
    <row r="73" spans="1:10" ht="12" customHeight="1" thickBot="1">
      <c r="A73" s="193"/>
      <c r="B73" s="213"/>
      <c r="C73" s="214"/>
      <c r="D73" s="214"/>
      <c r="E73" s="214"/>
      <c r="F73" s="214"/>
      <c r="G73" s="45"/>
      <c r="H73" s="45"/>
      <c r="I73" s="145"/>
      <c r="J73" s="193"/>
    </row>
    <row r="74" ht="11.25">
      <c r="B74" s="66"/>
    </row>
    <row r="75" ht="11.25">
      <c r="B75" s="62"/>
    </row>
    <row r="76" ht="12" thickBot="1">
      <c r="B76" s="62"/>
    </row>
    <row r="77" spans="2:10" ht="11.25">
      <c r="B77" s="246" t="s">
        <v>160</v>
      </c>
      <c r="C77" s="247"/>
      <c r="D77" s="247"/>
      <c r="E77" s="247"/>
      <c r="F77" s="247"/>
      <c r="G77" s="247"/>
      <c r="H77" s="247"/>
      <c r="I77" s="248"/>
      <c r="J77" s="193"/>
    </row>
    <row r="78" spans="2:10" ht="11.25">
      <c r="B78" s="249"/>
      <c r="C78" s="250"/>
      <c r="D78" s="250"/>
      <c r="E78" s="250"/>
      <c r="F78" s="250"/>
      <c r="G78" s="250"/>
      <c r="H78" s="250"/>
      <c r="I78" s="251"/>
      <c r="J78" s="193"/>
    </row>
    <row r="79" spans="2:10" ht="11.25">
      <c r="B79" s="195"/>
      <c r="C79" s="194"/>
      <c r="D79" s="49"/>
      <c r="E79" s="194"/>
      <c r="F79" s="243" t="s">
        <v>87</v>
      </c>
      <c r="G79" s="244"/>
      <c r="H79" s="243" t="s">
        <v>150</v>
      </c>
      <c r="I79" s="245"/>
      <c r="J79" s="193"/>
    </row>
    <row r="80" spans="2:10" ht="11.25">
      <c r="B80" s="196"/>
      <c r="C80" s="12">
        <v>38988</v>
      </c>
      <c r="D80" s="132">
        <v>39324</v>
      </c>
      <c r="E80" s="12">
        <v>39355</v>
      </c>
      <c r="F80" s="12" t="s">
        <v>153</v>
      </c>
      <c r="G80" s="112" t="s">
        <v>151</v>
      </c>
      <c r="H80" s="112" t="s">
        <v>153</v>
      </c>
      <c r="I80" s="136" t="s">
        <v>151</v>
      </c>
      <c r="J80" s="193"/>
    </row>
    <row r="81" spans="2:12" ht="11.25">
      <c r="B81" s="139" t="s">
        <v>58</v>
      </c>
      <c r="C81" s="43">
        <v>33703.31087606</v>
      </c>
      <c r="D81" s="43">
        <v>39688.09740477301</v>
      </c>
      <c r="E81" s="43">
        <v>40363.15148012151</v>
      </c>
      <c r="F81" s="43">
        <v>675.0540753484966</v>
      </c>
      <c r="G81" s="43">
        <v>6659.840604061508</v>
      </c>
      <c r="H81" s="43">
        <v>1.7008980512815222</v>
      </c>
      <c r="I81" s="198">
        <v>19.760196938966313</v>
      </c>
      <c r="J81" s="64"/>
      <c r="K81" s="64"/>
      <c r="L81" s="63"/>
    </row>
    <row r="82" spans="2:12" ht="11.25">
      <c r="B82" s="139" t="s">
        <v>1</v>
      </c>
      <c r="C82" s="43">
        <v>3944.26486974</v>
      </c>
      <c r="D82" s="43">
        <v>8336.481531933014</v>
      </c>
      <c r="E82" s="43">
        <v>7825.456508621507</v>
      </c>
      <c r="F82" s="43">
        <v>-511.02502331150663</v>
      </c>
      <c r="G82" s="43">
        <v>3881.191638881507</v>
      </c>
      <c r="H82" s="43">
        <v>-6.129984470714867</v>
      </c>
      <c r="I82" s="198">
        <v>98.4008875432686</v>
      </c>
      <c r="J82" s="64"/>
      <c r="K82" s="64"/>
      <c r="L82" s="63"/>
    </row>
    <row r="83" spans="2:11" ht="11.25">
      <c r="B83" s="139" t="s">
        <v>79</v>
      </c>
      <c r="C83" s="43">
        <v>27940.08102559</v>
      </c>
      <c r="D83" s="43">
        <v>29305.583689789997</v>
      </c>
      <c r="E83" s="43">
        <v>30299.560390979997</v>
      </c>
      <c r="F83" s="43">
        <v>993.9767011900003</v>
      </c>
      <c r="G83" s="43">
        <v>2359.479365389998</v>
      </c>
      <c r="H83" s="43">
        <v>3.3917655819846364</v>
      </c>
      <c r="I83" s="198">
        <v>8.444783546722638</v>
      </c>
      <c r="J83" s="215"/>
      <c r="K83" s="65"/>
    </row>
    <row r="84" spans="2:11" ht="11.25">
      <c r="B84" s="141" t="s">
        <v>120</v>
      </c>
      <c r="C84" s="13">
        <v>183.58551917999966</v>
      </c>
      <c r="D84" s="13">
        <v>-1692.9865008800016</v>
      </c>
      <c r="E84" s="13">
        <v>-1095.7417554000003</v>
      </c>
      <c r="F84" s="13">
        <v>597.2447454800013</v>
      </c>
      <c r="G84" s="13">
        <v>-1279.32727458</v>
      </c>
      <c r="H84" s="13">
        <v>-35.27758462158783</v>
      </c>
      <c r="I84" s="200">
        <v>-696.8563099607334</v>
      </c>
      <c r="J84" s="215"/>
      <c r="K84" s="65"/>
    </row>
    <row r="85" spans="2:11" ht="11.25">
      <c r="B85" s="141" t="s">
        <v>164</v>
      </c>
      <c r="C85" s="13">
        <v>27756.49550641</v>
      </c>
      <c r="D85" s="13">
        <v>30998.570190669998</v>
      </c>
      <c r="E85" s="13">
        <v>31395.302146379996</v>
      </c>
      <c r="F85" s="13">
        <v>396.73195570999815</v>
      </c>
      <c r="G85" s="13">
        <v>3638.8066399699965</v>
      </c>
      <c r="H85" s="13">
        <v>1.2798395321775429</v>
      </c>
      <c r="I85" s="200">
        <v>13.109748091684203</v>
      </c>
      <c r="J85" s="215"/>
      <c r="K85" s="65"/>
    </row>
    <row r="86" spans="2:11" ht="11.25">
      <c r="B86" s="155" t="s">
        <v>121</v>
      </c>
      <c r="C86" s="13">
        <v>731.942</v>
      </c>
      <c r="D86" s="13">
        <v>1027.7189999999998</v>
      </c>
      <c r="E86" s="13">
        <v>1193.1399999999999</v>
      </c>
      <c r="F86" s="13">
        <v>165.42100000000005</v>
      </c>
      <c r="G86" s="13">
        <v>461.19799999999987</v>
      </c>
      <c r="H86" s="13">
        <v>16.09593672978704</v>
      </c>
      <c r="I86" s="200">
        <v>0</v>
      </c>
      <c r="J86" s="215"/>
      <c r="K86" s="65"/>
    </row>
    <row r="87" spans="2:11" ht="11.25">
      <c r="B87" s="155" t="s">
        <v>122</v>
      </c>
      <c r="C87" s="13">
        <v>31.297</v>
      </c>
      <c r="D87" s="13">
        <v>40.082</v>
      </c>
      <c r="E87" s="13">
        <v>47.732</v>
      </c>
      <c r="F87" s="13">
        <v>7.649999999999999</v>
      </c>
      <c r="G87" s="13">
        <v>16.435</v>
      </c>
      <c r="H87" s="13">
        <v>19.085873958385307</v>
      </c>
      <c r="I87" s="200">
        <v>52.51302041729239</v>
      </c>
      <c r="J87" s="215"/>
      <c r="K87" s="65"/>
    </row>
    <row r="88" spans="2:11" ht="11.25">
      <c r="B88" s="155" t="s">
        <v>123</v>
      </c>
      <c r="C88" s="13">
        <v>204.046</v>
      </c>
      <c r="D88" s="13">
        <v>115.34100000000001</v>
      </c>
      <c r="E88" s="13">
        <v>132.086</v>
      </c>
      <c r="F88" s="13">
        <v>16.745000000000005</v>
      </c>
      <c r="G88" s="13">
        <v>-71.95999999999998</v>
      </c>
      <c r="H88" s="13">
        <v>14.517821069697682</v>
      </c>
      <c r="I88" s="200">
        <v>-35.26655754094664</v>
      </c>
      <c r="J88" s="215"/>
      <c r="K88" s="65"/>
    </row>
    <row r="89" spans="2:11" ht="11.25">
      <c r="B89" s="155" t="s">
        <v>124</v>
      </c>
      <c r="C89" s="13">
        <v>9264.81244724</v>
      </c>
      <c r="D89" s="13">
        <v>10188.57634913</v>
      </c>
      <c r="E89" s="13">
        <v>10231.857276539999</v>
      </c>
      <c r="F89" s="13">
        <v>43.280927409998185</v>
      </c>
      <c r="G89" s="13">
        <v>967.044829299999</v>
      </c>
      <c r="H89" s="13">
        <v>0.42479857761181644</v>
      </c>
      <c r="I89" s="200">
        <v>10.437824130893043</v>
      </c>
      <c r="J89" s="215"/>
      <c r="K89" s="65"/>
    </row>
    <row r="90" spans="2:11" ht="11.25">
      <c r="B90" s="155" t="s">
        <v>125</v>
      </c>
      <c r="C90" s="13">
        <v>17524.398059170002</v>
      </c>
      <c r="D90" s="13">
        <v>19626.85184154</v>
      </c>
      <c r="E90" s="13">
        <v>19790.48686984</v>
      </c>
      <c r="F90" s="13">
        <v>163.63502829999925</v>
      </c>
      <c r="G90" s="13">
        <v>2266.0888106699967</v>
      </c>
      <c r="H90" s="13">
        <v>0.8337303894742184</v>
      </c>
      <c r="I90" s="200">
        <v>12.931050772863603</v>
      </c>
      <c r="J90" s="215"/>
      <c r="K90" s="65"/>
    </row>
    <row r="91" spans="2:12" ht="11.25">
      <c r="B91" s="137" t="s">
        <v>73</v>
      </c>
      <c r="C91" s="13">
        <v>1818.96498073</v>
      </c>
      <c r="D91" s="13">
        <v>2046.0321830500002</v>
      </c>
      <c r="E91" s="13">
        <v>2238.13458052</v>
      </c>
      <c r="F91" s="13">
        <v>192.1023974699997</v>
      </c>
      <c r="G91" s="13">
        <v>419.1695997899999</v>
      </c>
      <c r="H91" s="13">
        <v>9.389021299930606</v>
      </c>
      <c r="I91" s="200">
        <v>23.044401856586365</v>
      </c>
      <c r="J91" s="64"/>
      <c r="K91" s="64"/>
      <c r="L91" s="63"/>
    </row>
    <row r="92" spans="2:11" ht="11.25">
      <c r="B92" s="137"/>
      <c r="C92" s="13"/>
      <c r="D92" s="13"/>
      <c r="E92" s="13"/>
      <c r="F92" s="13"/>
      <c r="G92" s="43"/>
      <c r="H92" s="43"/>
      <c r="I92" s="198"/>
      <c r="J92" s="215"/>
      <c r="K92" s="65"/>
    </row>
    <row r="93" spans="2:12" ht="11.25">
      <c r="B93" s="139" t="s">
        <v>64</v>
      </c>
      <c r="C93" s="43">
        <v>33703.27230001945</v>
      </c>
      <c r="D93" s="43">
        <v>39688.14953889424</v>
      </c>
      <c r="E93" s="43">
        <v>40363.21300423151</v>
      </c>
      <c r="F93" s="43">
        <v>675.063465337269</v>
      </c>
      <c r="G93" s="43">
        <v>6659.940704212058</v>
      </c>
      <c r="H93" s="43">
        <v>1.7009194764187967</v>
      </c>
      <c r="I93" s="198">
        <v>19.76051656031101</v>
      </c>
      <c r="J93" s="64"/>
      <c r="K93" s="64"/>
      <c r="L93" s="63"/>
    </row>
    <row r="94" spans="2:11" ht="11.25">
      <c r="B94" s="139" t="s">
        <v>80</v>
      </c>
      <c r="C94" s="43">
        <v>21511.921311880003</v>
      </c>
      <c r="D94" s="43">
        <v>24937.39690284</v>
      </c>
      <c r="E94" s="43">
        <v>25701.210093910002</v>
      </c>
      <c r="F94" s="43">
        <v>763.8131910700031</v>
      </c>
      <c r="G94" s="43">
        <v>4189.288782029998</v>
      </c>
      <c r="H94" s="43">
        <v>3.06292270218074</v>
      </c>
      <c r="I94" s="198">
        <v>19.474266018797934</v>
      </c>
      <c r="J94" s="215"/>
      <c r="K94" s="65"/>
    </row>
    <row r="95" spans="2:11" ht="11.25">
      <c r="B95" s="141" t="s">
        <v>138</v>
      </c>
      <c r="C95" s="13">
        <v>785.6441736700001</v>
      </c>
      <c r="D95" s="13">
        <v>883.0532800800001</v>
      </c>
      <c r="E95" s="13">
        <v>861.8369732400001</v>
      </c>
      <c r="F95" s="13">
        <v>-21.216306840000016</v>
      </c>
      <c r="G95" s="13">
        <v>76.19279957000003</v>
      </c>
      <c r="H95" s="13">
        <v>-2.4026077835391684</v>
      </c>
      <c r="I95" s="200">
        <v>9.698130798078552</v>
      </c>
      <c r="J95" s="215"/>
      <c r="K95" s="65"/>
    </row>
    <row r="96" spans="2:11" ht="11.25">
      <c r="B96" s="141" t="s">
        <v>81</v>
      </c>
      <c r="C96" s="13">
        <v>12065.229162530002</v>
      </c>
      <c r="D96" s="13">
        <v>15021.7304618</v>
      </c>
      <c r="E96" s="13">
        <v>14373.56577544</v>
      </c>
      <c r="F96" s="13">
        <v>-648.1646863599999</v>
      </c>
      <c r="G96" s="13">
        <v>2308.3366129099977</v>
      </c>
      <c r="H96" s="13">
        <v>-4.314847001204498</v>
      </c>
      <c r="I96" s="200">
        <v>19.132140648258968</v>
      </c>
      <c r="J96" s="215"/>
      <c r="K96" s="65"/>
    </row>
    <row r="97" spans="2:11" ht="11.25">
      <c r="B97" s="141" t="s">
        <v>82</v>
      </c>
      <c r="C97" s="13">
        <v>8655.23021856</v>
      </c>
      <c r="D97" s="13">
        <v>9026.74516096</v>
      </c>
      <c r="E97" s="13">
        <v>10459.939345230001</v>
      </c>
      <c r="F97" s="13">
        <v>1433.1941842700016</v>
      </c>
      <c r="G97" s="13">
        <v>1804.7091266700008</v>
      </c>
      <c r="H97" s="13">
        <v>15.877197801799698</v>
      </c>
      <c r="I97" s="200">
        <v>20.85108172859504</v>
      </c>
      <c r="J97" s="215"/>
      <c r="K97" s="65"/>
    </row>
    <row r="98" spans="2:11" ht="11.25">
      <c r="B98" s="141" t="s">
        <v>137</v>
      </c>
      <c r="C98" s="13">
        <v>5.8177571200000004</v>
      </c>
      <c r="D98" s="13">
        <v>5.868</v>
      </c>
      <c r="E98" s="13">
        <v>5.868</v>
      </c>
      <c r="F98" s="13">
        <v>0</v>
      </c>
      <c r="G98" s="13">
        <v>0.05024287999999988</v>
      </c>
      <c r="H98" s="13">
        <v>0</v>
      </c>
      <c r="I98" s="200">
        <v>0.8636125393973111</v>
      </c>
      <c r="J98" s="215"/>
      <c r="K98" s="65"/>
    </row>
    <row r="99" spans="2:12" ht="11.25">
      <c r="B99" s="137" t="s">
        <v>83</v>
      </c>
      <c r="C99" s="13">
        <v>12197.16874525945</v>
      </c>
      <c r="D99" s="13">
        <v>14756.620636054242</v>
      </c>
      <c r="E99" s="13">
        <v>14667.87091032151</v>
      </c>
      <c r="F99" s="13">
        <v>-88.74972573273226</v>
      </c>
      <c r="G99" s="13">
        <v>2470.702165062059</v>
      </c>
      <c r="H99" s="13">
        <v>-0.6014231030368411</v>
      </c>
      <c r="I99" s="200">
        <v>20.256357984899747</v>
      </c>
      <c r="J99" s="64"/>
      <c r="K99" s="64"/>
      <c r="L99" s="63"/>
    </row>
    <row r="100" spans="2:11" ht="12" thickBot="1">
      <c r="B100" s="216"/>
      <c r="C100" s="149"/>
      <c r="D100" s="149"/>
      <c r="E100" s="149"/>
      <c r="F100" s="149"/>
      <c r="G100" s="45"/>
      <c r="H100" s="45"/>
      <c r="I100" s="205"/>
      <c r="J100" s="215"/>
      <c r="K100" s="65"/>
    </row>
    <row r="101" spans="2:9" ht="12" hidden="1" thickBot="1">
      <c r="B101" s="44" t="s">
        <v>84</v>
      </c>
      <c r="C101" s="45">
        <v>-0.002186002311646007</v>
      </c>
      <c r="D101" s="45"/>
      <c r="E101" s="45">
        <v>-0.052496489850454964</v>
      </c>
      <c r="F101" s="45"/>
      <c r="G101" s="45">
        <v>-0.05031048753880896</v>
      </c>
      <c r="H101" s="45"/>
      <c r="I101" s="45">
        <v>-0.00013978667906000553</v>
      </c>
    </row>
    <row r="102" spans="2:9" ht="11.25">
      <c r="B102" s="34"/>
      <c r="C102" s="34"/>
      <c r="D102" s="34"/>
      <c r="E102" s="34"/>
      <c r="F102" s="34"/>
      <c r="G102" s="34"/>
      <c r="H102" s="34"/>
      <c r="I102" s="34"/>
    </row>
  </sheetData>
  <sheetProtection/>
  <mergeCells count="12">
    <mergeCell ref="B2:I2"/>
    <mergeCell ref="B3:I3"/>
    <mergeCell ref="B77:I77"/>
    <mergeCell ref="B78:I78"/>
    <mergeCell ref="B30:I30"/>
    <mergeCell ref="B31:I31"/>
    <mergeCell ref="F4:G4"/>
    <mergeCell ref="H4:I4"/>
    <mergeCell ref="F32:G32"/>
    <mergeCell ref="H32:I32"/>
    <mergeCell ref="F79:G79"/>
    <mergeCell ref="H79:I79"/>
  </mergeCells>
  <printOptions/>
  <pageMargins left="0.75" right="0.75" top="1" bottom="1" header="0.5" footer="0.5"/>
  <pageSetup fitToHeight="2" fitToWidth="1" horizontalDpi="1200" verticalDpi="1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hai037</cp:lastModifiedBy>
  <cp:lastPrinted>2007-11-20T08:02:09Z</cp:lastPrinted>
  <dcterms:created xsi:type="dcterms:W3CDTF">1999-07-02T10:21:54Z</dcterms:created>
  <dcterms:modified xsi:type="dcterms:W3CDTF">2007-11-20T08:36:04Z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