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'S3'!$A$4:$R$82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'S7'!$A$4:$R$72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'S7'!$A$1:$J$64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'S7'!$A$1:$J$64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'S7'!$A$1:$I$64</definedName>
  </definedNames>
  <calcPr fullCalcOnLoad="1"/>
</workbook>
</file>

<file path=xl/sharedStrings.xml><?xml version="1.0" encoding="utf-8"?>
<sst xmlns="http://schemas.openxmlformats.org/spreadsheetml/2006/main" count="290" uniqueCount="181">
  <si>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</si>
  <si>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</si>
  <si>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</si>
  <si>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</si>
  <si>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</si>
  <si>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</si>
  <si>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</si>
  <si>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</si>
  <si>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</si>
  <si>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</si>
  <si>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</si>
  <si>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</si>
  <si>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</si>
  <si>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</si>
  <si>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</si>
  <si>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</si>
  <si>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</si>
  <si>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</si>
  <si>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</si>
  <si>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</si>
  <si>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</si>
  <si>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</si>
  <si>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</si>
  <si>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</si>
  <si>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</si>
  <si>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</si>
  <si>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</si>
  <si>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</si>
  <si>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</si>
  <si>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</si>
  <si>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</si>
  <si>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</si>
  <si>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</si>
  <si>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</si>
  <si>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</si>
  <si>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</si>
  <si>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</si>
  <si>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</si>
  <si>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</si>
  <si>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</si>
  <si>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</si>
  <si>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</si>
  <si>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</si>
  <si>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</si>
  <si>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</si>
  <si>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</si>
  <si>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</si>
  <si>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</si>
  <si>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</si>
  <si>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</si>
  <si>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</si>
  <si>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</si>
  <si>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</si>
  <si>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</si>
  <si>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</si>
  <si>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</si>
  <si>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</si>
  <si>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</si>
  <si>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</si>
  <si>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</si>
  <si>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</si>
  <si>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</si>
  <si>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</si>
  <si>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</si>
  <si>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</si>
  <si>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</si>
  <si>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</si>
  <si>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</si>
  <si>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</si>
  <si>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</si>
  <si>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</si>
  <si>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</si>
  <si>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</si>
  <si>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</si>
  <si>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</si>
  <si>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</si>
  <si>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</si>
  <si>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</si>
  <si>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</si>
  <si>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</si>
  <si>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</si>
  <si>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</si>
  <si>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</si>
  <si>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</si>
  <si>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</si>
  <si>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</si>
  <si>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</si>
  <si>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</si>
  <si>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</si>
  <si>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</si>
  <si>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</si>
  <si>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</si>
  <si>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</si>
  <si>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</si>
  <si>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</si>
  <si>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</si>
  <si>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</si>
  <si>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</si>
  <si>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</si>
  <si>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</si>
  <si>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</si>
  <si>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</si>
  <si>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</si>
  <si>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</si>
  <si>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</si>
  <si>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</si>
  <si>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</si>
  <si>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</si>
  <si>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</si>
  <si>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</si>
  <si>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</si>
  <si>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</si>
  <si>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</si>
  <si>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</si>
  <si>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</si>
  <si>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</si>
  <si>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</si>
  <si>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</si>
  <si>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</si>
  <si>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</si>
  <si>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</si>
  <si>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</si>
  <si>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</si>
  <si>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</si>
  <si>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</si>
  <si>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</si>
  <si>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</si>
  <si>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</si>
  <si>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</si>
  <si>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</si>
  <si>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</si>
  <si>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</si>
  <si>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</si>
  <si>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</si>
  <si>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</si>
  <si>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</si>
  <si>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</si>
  <si>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</si>
  <si>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</si>
  <si>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</si>
  <si>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</si>
  <si>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</si>
  <si>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</si>
  <si>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</si>
  <si>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</si>
  <si>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</si>
  <si>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</si>
  <si>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</si>
  <si>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</si>
  <si>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</si>
  <si>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</si>
  <si>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</si>
  <si>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</si>
  <si>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</si>
  <si>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</si>
  <si>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</si>
  <si>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</si>
  <si>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</si>
  <si>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</si>
  <si>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</si>
  <si>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</si>
  <si>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</si>
  <si>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</si>
  <si>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</si>
  <si>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</si>
  <si>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>Claims on the Other sectors*  by the Other Depository Corporations (N$ million)</t>
  </si>
  <si>
    <t xml:space="preserve"> Monthly</t>
  </si>
  <si>
    <t>Domestic and other sectors claims (month-on-month  percentage changes)</t>
  </si>
  <si>
    <t>*** Not issued in April</t>
  </si>
  <si>
    <t>182-Day Treasury Bills**</t>
  </si>
  <si>
    <t>J</t>
  </si>
  <si>
    <t>F</t>
  </si>
  <si>
    <t>M</t>
  </si>
  <si>
    <t>A</t>
  </si>
  <si>
    <t>S</t>
  </si>
  <si>
    <t>O</t>
  </si>
  <si>
    <t>N</t>
  </si>
  <si>
    <t>D</t>
  </si>
  <si>
    <t>U.S Dollar/Namibia Dollar exchange rate</t>
  </si>
  <si>
    <t xml:space="preserve">       International reserves and exchange rates</t>
  </si>
  <si>
    <t xml:space="preserve">   International reserves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</si>
</sst>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9"/>
      <name val="Univers"/>
      <family val="0"/>
    </font>
    <font>
      <sz val="9"/>
      <color indexed="25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b/>
      <sz val="8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  <font>
      <b/>
      <sz val="8"/>
      <color theme="0"/>
      <name val="Arial"/>
      <family val="2"/>
    </font>
    <font>
      <b/>
      <sz val="8"/>
      <color theme="0"/>
      <name val="Univer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171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0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1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2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0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45" fillId="0" borderId="0" xfId="0" applyFont="1" applyAlignment="1">
      <alignment/>
    </xf>
    <xf numFmtId="171" fontId="9" fillId="35" borderId="15" xfId="42" applyFont="1" applyFill="1" applyBorder="1" applyAlignment="1">
      <alignment horizontal="right"/>
    </xf>
    <xf numFmtId="171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0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100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101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171" fontId="1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2" fillId="35" borderId="15" xfId="0" applyNumberFormat="1" applyFont="1" applyFill="1" applyBorder="1" applyAlignment="1">
      <alignment/>
    </xf>
    <xf numFmtId="176" fontId="102" fillId="35" borderId="15" xfId="42" applyNumberFormat="1" applyFont="1" applyFill="1" applyBorder="1" applyAlignment="1">
      <alignment horizontal="right"/>
    </xf>
    <xf numFmtId="171" fontId="102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2" fillId="35" borderId="15" xfId="0" applyNumberFormat="1" applyFont="1" applyFill="1" applyBorder="1" applyAlignment="1">
      <alignment horizontal="right"/>
    </xf>
    <xf numFmtId="175" fontId="102" fillId="35" borderId="15" xfId="42" applyNumberFormat="1" applyFont="1" applyFill="1" applyBorder="1" applyAlignment="1">
      <alignment horizontal="right"/>
    </xf>
    <xf numFmtId="2" fontId="102" fillId="35" borderId="15" xfId="42" applyNumberFormat="1" applyFont="1" applyFill="1" applyBorder="1" applyAlignment="1">
      <alignment horizontal="right"/>
    </xf>
    <xf numFmtId="171" fontId="102" fillId="35" borderId="15" xfId="42" applyFont="1" applyFill="1" applyBorder="1" applyAlignment="1">
      <alignment horizontal="right"/>
    </xf>
    <xf numFmtId="4" fontId="102" fillId="35" borderId="15" xfId="42" applyNumberFormat="1" applyFont="1" applyFill="1" applyBorder="1" applyAlignment="1">
      <alignment horizontal="right"/>
    </xf>
    <xf numFmtId="0" fontId="102" fillId="35" borderId="15" xfId="0" applyFont="1" applyFill="1" applyBorder="1" applyAlignment="1">
      <alignment/>
    </xf>
    <xf numFmtId="171" fontId="102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2" fillId="35" borderId="15" xfId="0" applyNumberFormat="1" applyFont="1" applyFill="1" applyBorder="1" applyAlignment="1">
      <alignment/>
    </xf>
    <xf numFmtId="180" fontId="102" fillId="35" borderId="15" xfId="0" applyNumberFormat="1" applyFont="1" applyFill="1" applyBorder="1" applyAlignment="1">
      <alignment/>
    </xf>
    <xf numFmtId="180" fontId="102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2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2" fillId="40" borderId="15" xfId="0" applyFont="1" applyFill="1" applyBorder="1" applyAlignment="1">
      <alignment/>
    </xf>
    <xf numFmtId="0" fontId="55" fillId="0" borderId="22" xfId="0" applyFont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4" fillId="34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6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6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6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2" xfId="0" applyNumberFormat="1" applyFont="1" applyFill="1" applyBorder="1" applyAlignment="1">
      <alignment horizontal="right"/>
    </xf>
    <xf numFmtId="2" fontId="9" fillId="32" borderId="15" xfId="0" applyNumberFormat="1" applyFont="1" applyFill="1" applyBorder="1" applyAlignment="1">
      <alignment horizontal="right"/>
    </xf>
    <xf numFmtId="0" fontId="36" fillId="41" borderId="18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2" fontId="9" fillId="35" borderId="15" xfId="42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175" fontId="13" fillId="33" borderId="37" xfId="0" applyNumberFormat="1" applyFont="1" applyFill="1" applyBorder="1" applyAlignment="1">
      <alignment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05" fillId="41" borderId="39" xfId="0" applyFont="1" applyFill="1" applyBorder="1" applyAlignment="1">
      <alignment horizontal="center"/>
    </xf>
    <xf numFmtId="0" fontId="106" fillId="41" borderId="18" xfId="0" applyFont="1" applyFill="1" applyBorder="1" applyAlignment="1">
      <alignment horizontal="center"/>
    </xf>
    <xf numFmtId="0" fontId="106" fillId="41" borderId="40" xfId="0" applyFont="1" applyFill="1" applyBorder="1" applyAlignment="1">
      <alignment horizontal="center"/>
    </xf>
    <xf numFmtId="0" fontId="105" fillId="41" borderId="18" xfId="0" applyFont="1" applyFill="1" applyBorder="1" applyAlignment="1">
      <alignment horizontal="center"/>
    </xf>
    <xf numFmtId="0" fontId="105" fillId="41" borderId="4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125"/>
          <c:w val="0.900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'[2]Int reser chart'!$BK$1:$CO$2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</c:lvl>
              </c:multiLvlStrCache>
            </c:multiLvlStrRef>
          </c:cat>
          <c:val>
            <c:numRef>
              <c:f>'[2]Int reser chart'!$BK$3:$CO$3</c:f>
              <c:numCache>
                <c:ptCount val="31"/>
                <c:pt idx="0">
                  <c:v>8497.90853458</c:v>
                </c:pt>
                <c:pt idx="1">
                  <c:v>8656.654479950002</c:v>
                </c:pt>
                <c:pt idx="2">
                  <c:v>8900.780324439998</c:v>
                </c:pt>
                <c:pt idx="3">
                  <c:v>9949.63092274</c:v>
                </c:pt>
                <c:pt idx="4">
                  <c:v>9441.90025126</c:v>
                </c:pt>
                <c:pt idx="5">
                  <c:v>9697.814715469998</c:v>
                </c:pt>
                <c:pt idx="6">
                  <c:v>11758.2039831</c:v>
                </c:pt>
                <c:pt idx="7">
                  <c:v>10730.849802119998</c:v>
                </c:pt>
                <c:pt idx="8">
                  <c:v>10942.098551590001</c:v>
                </c:pt>
                <c:pt idx="9">
                  <c:v>13805.317071959998</c:v>
                </c:pt>
                <c:pt idx="10">
                  <c:v>12725.77199603</c:v>
                </c:pt>
                <c:pt idx="11">
                  <c:v>12712.55</c:v>
                </c:pt>
                <c:pt idx="12">
                  <c:v>14460.5</c:v>
                </c:pt>
                <c:pt idx="13">
                  <c:v>13779</c:v>
                </c:pt>
                <c:pt idx="14">
                  <c:v>14136.3</c:v>
                </c:pt>
                <c:pt idx="15">
                  <c:v>14561.206</c:v>
                </c:pt>
                <c:pt idx="16">
                  <c:v>14205.63</c:v>
                </c:pt>
                <c:pt idx="17">
                  <c:v>13206.787</c:v>
                </c:pt>
                <c:pt idx="18">
                  <c:v>13207.787</c:v>
                </c:pt>
                <c:pt idx="19">
                  <c:v>13840</c:v>
                </c:pt>
                <c:pt idx="20">
                  <c:v>14719.96</c:v>
                </c:pt>
                <c:pt idx="21">
                  <c:v>15827.33</c:v>
                </c:pt>
                <c:pt idx="22">
                  <c:v>14317.35</c:v>
                </c:pt>
                <c:pt idx="23">
                  <c:v>13828.2</c:v>
                </c:pt>
                <c:pt idx="24">
                  <c:v>14584.6</c:v>
                </c:pt>
                <c:pt idx="25">
                  <c:v>14462.12</c:v>
                </c:pt>
                <c:pt idx="26">
                  <c:v>12874.951</c:v>
                </c:pt>
                <c:pt idx="27">
                  <c:v>13495.166</c:v>
                </c:pt>
                <c:pt idx="28">
                  <c:v>12702.6</c:v>
                </c:pt>
                <c:pt idx="29">
                  <c:v>12313.47</c:v>
                </c:pt>
                <c:pt idx="30">
                  <c:v>12255.07</c:v>
                </c:pt>
              </c:numCache>
            </c:numRef>
          </c:val>
        </c:ser>
        <c:axId val="16575539"/>
        <c:axId val="14962124"/>
      </c:barChart>
      <c:catAx>
        <c:axId val="1657553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62124"/>
        <c:crosses val="autoZero"/>
        <c:auto val="1"/>
        <c:lblOffset val="100"/>
        <c:tickLblSkip val="1"/>
        <c:noMultiLvlLbl val="0"/>
      </c:catAx>
      <c:valAx>
        <c:axId val="1496212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Millions of Namibia Dollars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75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10</xdr:row>
      <xdr:rowOff>0</xdr:rowOff>
    </xdr:from>
    <xdr:to>
      <xdr:col>12</xdr:col>
      <xdr:colOff>609600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85950"/>
          <a:ext cx="74199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35</xdr:row>
      <xdr:rowOff>0</xdr:rowOff>
    </xdr:from>
    <xdr:to>
      <xdr:col>12</xdr:col>
      <xdr:colOff>600075</xdr:colOff>
      <xdr:row>50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657975"/>
          <a:ext cx="7410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466725</xdr:colOff>
      <xdr:row>23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3450"/>
          <a:ext cx="71723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34</xdr:row>
      <xdr:rowOff>152400</xdr:rowOff>
    </xdr:from>
    <xdr:to>
      <xdr:col>12</xdr:col>
      <xdr:colOff>504825</xdr:colOff>
      <xdr:row>56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895975"/>
          <a:ext cx="72104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200025</xdr:rowOff>
    </xdr:from>
    <xdr:to>
      <xdr:col>12</xdr:col>
      <xdr:colOff>66675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9650"/>
          <a:ext cx="66198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23</xdr:row>
      <xdr:rowOff>180975</xdr:rowOff>
    </xdr:from>
    <xdr:to>
      <xdr:col>12</xdr:col>
      <xdr:colOff>133350</xdr:colOff>
      <xdr:row>39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676775"/>
          <a:ext cx="67341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46</xdr:row>
      <xdr:rowOff>57150</xdr:rowOff>
    </xdr:from>
    <xdr:to>
      <xdr:col>12</xdr:col>
      <xdr:colOff>209550</xdr:colOff>
      <xdr:row>63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820150"/>
          <a:ext cx="68199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66675</xdr:rowOff>
    </xdr:from>
    <xdr:to>
      <xdr:col>12</xdr:col>
      <xdr:colOff>447675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33375" y="914400"/>
        <a:ext cx="7400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33</xdr:row>
      <xdr:rowOff>161925</xdr:rowOff>
    </xdr:from>
    <xdr:to>
      <xdr:col>12</xdr:col>
      <xdr:colOff>228600</xdr:colOff>
      <xdr:row>51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581650"/>
          <a:ext cx="69056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MFS%20revisions\New%20Compilation%20Workbook\MFS%20compilation%20fil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442\AppData\Local\Microsoft\Windows\Temporary%20Internet%20Files\Content.Outlook\6E7PLODD\Bilateral%20Exchange%20Rate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  <sheetName val="Sheet2"/>
    </sheetNames>
    <sheetDataSet>
      <sheetData sheetId="8">
        <row r="1">
          <cell r="BK1">
            <v>2008</v>
          </cell>
          <cell r="BW1">
            <v>2009</v>
          </cell>
          <cell r="CI1">
            <v>2010</v>
          </cell>
        </row>
        <row r="2">
          <cell r="BK2" t="str">
            <v>J</v>
          </cell>
          <cell r="BL2" t="str">
            <v>F</v>
          </cell>
          <cell r="BM2" t="str">
            <v>M</v>
          </cell>
          <cell r="BN2" t="str">
            <v>A</v>
          </cell>
          <cell r="BO2" t="str">
            <v>M</v>
          </cell>
          <cell r="BP2" t="str">
            <v>J</v>
          </cell>
          <cell r="BQ2" t="str">
            <v>J</v>
          </cell>
          <cell r="BR2" t="str">
            <v>A</v>
          </cell>
          <cell r="BS2" t="str">
            <v>S</v>
          </cell>
          <cell r="BT2" t="str">
            <v>O</v>
          </cell>
          <cell r="BU2" t="str">
            <v>N</v>
          </cell>
          <cell r="BV2" t="str">
            <v>D</v>
          </cell>
          <cell r="BW2" t="str">
            <v>J</v>
          </cell>
          <cell r="BX2" t="str">
            <v>F</v>
          </cell>
          <cell r="BY2" t="str">
            <v>M</v>
          </cell>
          <cell r="BZ2" t="str">
            <v>A</v>
          </cell>
          <cell r="CA2" t="str">
            <v>M</v>
          </cell>
          <cell r="CB2" t="str">
            <v>J</v>
          </cell>
          <cell r="CC2" t="str">
            <v>J</v>
          </cell>
          <cell r="CD2" t="str">
            <v>A</v>
          </cell>
          <cell r="CE2" t="str">
            <v>S</v>
          </cell>
          <cell r="CF2" t="str">
            <v>O</v>
          </cell>
          <cell r="CG2" t="str">
            <v>N</v>
          </cell>
          <cell r="CH2" t="str">
            <v>D</v>
          </cell>
          <cell r="CI2" t="str">
            <v>J</v>
          </cell>
          <cell r="CJ2" t="str">
            <v>F</v>
          </cell>
          <cell r="CK2" t="str">
            <v>M</v>
          </cell>
          <cell r="CL2" t="str">
            <v>A</v>
          </cell>
          <cell r="CM2" t="str">
            <v>M</v>
          </cell>
          <cell r="CN2" t="str">
            <v>J</v>
          </cell>
          <cell r="CO2" t="str">
            <v>J</v>
          </cell>
        </row>
        <row r="3"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12712.55</v>
          </cell>
          <cell r="BW3">
            <v>14460.5</v>
          </cell>
          <cell r="BX3">
            <v>13779</v>
          </cell>
          <cell r="BY3">
            <v>14136.3</v>
          </cell>
          <cell r="BZ3">
            <v>14561.206</v>
          </cell>
          <cell r="CA3">
            <v>14205.63</v>
          </cell>
          <cell r="CB3">
            <v>13206.787</v>
          </cell>
          <cell r="CC3">
            <v>13207.787</v>
          </cell>
          <cell r="CD3">
            <v>13840</v>
          </cell>
          <cell r="CE3">
            <v>14719.96</v>
          </cell>
          <cell r="CF3">
            <v>15827.33</v>
          </cell>
          <cell r="CG3">
            <v>14317.35</v>
          </cell>
          <cell r="CH3">
            <v>13828.2</v>
          </cell>
          <cell r="CI3">
            <v>14584.6</v>
          </cell>
          <cell r="CJ3">
            <v>14462.12</v>
          </cell>
          <cell r="CK3">
            <v>12874.951</v>
          </cell>
          <cell r="CL3">
            <v>13495.166</v>
          </cell>
          <cell r="CM3">
            <v>12702.6</v>
          </cell>
          <cell r="CN3">
            <v>12313.47</v>
          </cell>
          <cell r="CO3">
            <v>12255.07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Interbank Position"/>
      <sheetName val="FNB"/>
      <sheetName val="BWK"/>
      <sheetName val="STD"/>
      <sheetName val="Nedbank"/>
      <sheetName val="Agribank"/>
      <sheetName val="Fides Bank "/>
      <sheetName val="NHE"/>
      <sheetName val="NamPost"/>
      <sheetName val="SB(ignore)"/>
      <sheetName val="CSIB(ignore)"/>
      <sheetName val="ODCS"/>
      <sheetName val="DCS"/>
      <sheetName val="Selected 1"/>
      <sheetName val="Selected 2"/>
      <sheetName val="SRF1"/>
      <sheetName val="SRF2"/>
      <sheetName val="SRF5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rect"/>
      <sheetName val="Indirect"/>
    </sheetNames>
    <sheetDataSet>
      <sheetData sheetId="2">
        <row r="264">
          <cell r="G264">
            <v>2009</v>
          </cell>
          <cell r="H264" t="str">
            <v>J</v>
          </cell>
          <cell r="I264">
            <v>0.12576559807830168</v>
          </cell>
        </row>
        <row r="265">
          <cell r="H265" t="str">
            <v>A</v>
          </cell>
          <cell r="I265">
            <v>0.12592079581942958</v>
          </cell>
        </row>
        <row r="266">
          <cell r="H266" t="str">
            <v>S</v>
          </cell>
          <cell r="I266">
            <v>0.1329168605037549</v>
          </cell>
        </row>
        <row r="267">
          <cell r="H267" t="str">
            <v>O</v>
          </cell>
          <cell r="I267">
            <v>0.13363088477008805</v>
          </cell>
        </row>
        <row r="268">
          <cell r="H268" t="str">
            <v>N</v>
          </cell>
          <cell r="I268">
            <v>0.13301056103854644</v>
          </cell>
        </row>
        <row r="269">
          <cell r="H269" t="str">
            <v>D</v>
          </cell>
          <cell r="I269">
            <v>0.13352204448954522</v>
          </cell>
        </row>
        <row r="270">
          <cell r="G270">
            <v>2010</v>
          </cell>
          <cell r="H270" t="str">
            <v>J</v>
          </cell>
          <cell r="I270">
            <v>0.13417955908596885</v>
          </cell>
        </row>
        <row r="271">
          <cell r="H271" t="str">
            <v>F</v>
          </cell>
          <cell r="I271">
            <v>0.1288908938583489</v>
          </cell>
        </row>
        <row r="272">
          <cell r="H272" t="str">
            <v>M</v>
          </cell>
          <cell r="I272">
            <v>0.13466562525249806</v>
          </cell>
        </row>
        <row r="273">
          <cell r="H273" t="str">
            <v>A</v>
          </cell>
          <cell r="I273">
            <v>0.13617670288966963</v>
          </cell>
        </row>
        <row r="274">
          <cell r="H274" t="str">
            <v>M</v>
          </cell>
          <cell r="I274">
            <v>0.13100665513808102</v>
          </cell>
        </row>
        <row r="275">
          <cell r="H275" t="str">
            <v>J</v>
          </cell>
          <cell r="I275">
            <v>0.13076510663894444</v>
          </cell>
        </row>
        <row r="276">
          <cell r="H276" t="str">
            <v>J</v>
          </cell>
          <cell r="I276">
            <v>0.13250649281814808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7">
      <selection activeCell="A27" sqref="A27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99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0"/>
    </row>
    <row r="11" ht="40.5">
      <c r="A11" s="27"/>
    </row>
    <row r="12" ht="40.5">
      <c r="A12" s="27"/>
    </row>
    <row r="13" ht="40.5">
      <c r="A13" s="27" t="s">
        <v>43</v>
      </c>
    </row>
    <row r="14" ht="40.5">
      <c r="A14" s="27"/>
    </row>
    <row r="15" ht="40.5">
      <c r="A15" s="27" t="s">
        <v>44</v>
      </c>
    </row>
    <row r="16" ht="40.5">
      <c r="A16" s="27"/>
    </row>
    <row r="17" ht="40.5">
      <c r="A17" s="27" t="s">
        <v>45</v>
      </c>
    </row>
    <row r="18" ht="40.5">
      <c r="A18" s="27"/>
    </row>
    <row r="19" ht="40.5">
      <c r="A19" s="29">
        <v>40360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43">
      <selection activeCell="M45" sqref="M45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8.140625" style="0" customWidth="1"/>
    <col min="10" max="10" width="8.7109375" style="0" customWidth="1"/>
    <col min="11" max="11" width="9.140625" style="0" hidden="1" customWidth="1"/>
    <col min="12" max="12" width="10.8515625" style="0" customWidth="1"/>
  </cols>
  <sheetData>
    <row r="2" spans="2:12" ht="11.25">
      <c r="B2" s="292" t="s">
        <v>74</v>
      </c>
      <c r="C2" s="293"/>
      <c r="D2" s="293"/>
      <c r="E2" s="293"/>
      <c r="F2" s="293"/>
      <c r="G2" s="293"/>
      <c r="H2" s="293"/>
      <c r="I2" s="293"/>
      <c r="J2" s="293"/>
      <c r="K2" s="293"/>
      <c r="L2" s="197"/>
    </row>
    <row r="3" spans="2:12" ht="11.25">
      <c r="B3" s="295" t="s">
        <v>114</v>
      </c>
      <c r="C3" s="295"/>
      <c r="D3" s="295"/>
      <c r="E3" s="295"/>
      <c r="F3" s="295"/>
      <c r="G3" s="295"/>
      <c r="H3" s="295"/>
      <c r="I3" s="295"/>
      <c r="J3" s="295"/>
      <c r="K3" s="295"/>
      <c r="L3" s="198"/>
    </row>
    <row r="4" spans="2:12" ht="11.25">
      <c r="B4" s="69"/>
      <c r="C4" s="22"/>
      <c r="D4" s="22"/>
      <c r="E4" s="22"/>
      <c r="F4" s="296" t="s">
        <v>106</v>
      </c>
      <c r="G4" s="298"/>
      <c r="H4" s="127" t="s">
        <v>123</v>
      </c>
      <c r="I4" s="296" t="s">
        <v>158</v>
      </c>
      <c r="J4" s="297"/>
      <c r="K4" s="298"/>
      <c r="L4" s="198" t="s">
        <v>159</v>
      </c>
    </row>
    <row r="5" spans="2:12" ht="11.25">
      <c r="B5" s="70"/>
      <c r="C5" s="12">
        <v>39995</v>
      </c>
      <c r="D5" s="12">
        <v>40353</v>
      </c>
      <c r="E5" s="12">
        <v>40385</v>
      </c>
      <c r="F5" s="12" t="s">
        <v>153</v>
      </c>
      <c r="G5" s="58" t="s">
        <v>154</v>
      </c>
      <c r="H5" s="58" t="s">
        <v>166</v>
      </c>
      <c r="I5" s="12">
        <v>40299</v>
      </c>
      <c r="J5" s="12">
        <v>40330</v>
      </c>
      <c r="K5" s="12">
        <v>40210</v>
      </c>
      <c r="L5" s="12">
        <v>40360</v>
      </c>
    </row>
    <row r="6" spans="2:12" ht="11.25">
      <c r="B6" s="71"/>
      <c r="C6" s="137"/>
      <c r="D6" s="137"/>
      <c r="E6" s="137"/>
      <c r="F6" s="138"/>
      <c r="G6" s="138"/>
      <c r="H6" s="138"/>
      <c r="I6" s="134"/>
      <c r="J6" s="134"/>
      <c r="K6" s="134"/>
      <c r="L6" s="269"/>
    </row>
    <row r="7" spans="2:14" ht="11.25">
      <c r="B7" s="72" t="s">
        <v>1</v>
      </c>
      <c r="C7" s="38">
        <v>15894.29987667912</v>
      </c>
      <c r="D7" s="132">
        <v>14144.417551039998</v>
      </c>
      <c r="E7" s="132">
        <v>15092.157398658765</v>
      </c>
      <c r="F7" s="38">
        <v>947.7398476187664</v>
      </c>
      <c r="G7" s="132">
        <v>-802.1424780203561</v>
      </c>
      <c r="H7" s="132">
        <v>6.700451568251969</v>
      </c>
      <c r="I7" s="132">
        <v>5.409881095435676</v>
      </c>
      <c r="J7" s="132">
        <v>-5.154977438997765</v>
      </c>
      <c r="K7" s="132">
        <v>-5.04673048982357</v>
      </c>
      <c r="L7" s="270">
        <v>-5.04673048982357</v>
      </c>
      <c r="N7" s="53"/>
    </row>
    <row r="8" spans="2:12" ht="11.25">
      <c r="B8" s="72" t="s">
        <v>71</v>
      </c>
      <c r="C8" s="38">
        <v>30265.312095454436</v>
      </c>
      <c r="D8" s="132">
        <v>36447.02762937834</v>
      </c>
      <c r="E8" s="132">
        <v>37047.98141514344</v>
      </c>
      <c r="F8" s="264">
        <v>600.9537857651012</v>
      </c>
      <c r="G8" s="140">
        <v>6782.669319689005</v>
      </c>
      <c r="H8" s="132">
        <v>1.6488416884802393</v>
      </c>
      <c r="I8" s="132">
        <v>21.07190310940281</v>
      </c>
      <c r="J8" s="132">
        <v>17.532799114373844</v>
      </c>
      <c r="K8" s="132">
        <v>22.41070337651565</v>
      </c>
      <c r="L8" s="270">
        <v>22.41070337651565</v>
      </c>
    </row>
    <row r="9" spans="2:12" ht="11.25">
      <c r="B9" s="74" t="s">
        <v>132</v>
      </c>
      <c r="C9" s="265">
        <v>-7896.984670240039</v>
      </c>
      <c r="D9" s="133">
        <v>-4631.149417546298</v>
      </c>
      <c r="E9" s="133">
        <v>-4556.668205026301</v>
      </c>
      <c r="F9" s="266">
        <v>74.48121251999692</v>
      </c>
      <c r="G9" s="136">
        <v>3340.3164652137384</v>
      </c>
      <c r="H9" s="133">
        <v>-1.6082662381353048</v>
      </c>
      <c r="I9" s="133">
        <v>-50.43355166799559</v>
      </c>
      <c r="J9" s="133">
        <v>-32.18498614359569</v>
      </c>
      <c r="K9" s="133">
        <v>-42.298631752468694</v>
      </c>
      <c r="L9" s="271">
        <v>-42.298631752468694</v>
      </c>
    </row>
    <row r="10" spans="2:12" ht="11.25">
      <c r="B10" s="74" t="s">
        <v>130</v>
      </c>
      <c r="C10" s="265">
        <v>38162.296765694475</v>
      </c>
      <c r="D10" s="133">
        <v>41078.17704692463</v>
      </c>
      <c r="E10" s="133">
        <v>41604.649620169745</v>
      </c>
      <c r="F10" s="266">
        <v>526.4725732451116</v>
      </c>
      <c r="G10" s="136">
        <v>3442.35285447527</v>
      </c>
      <c r="H10" s="133">
        <v>1.2816356788270054</v>
      </c>
      <c r="I10" s="133">
        <v>6.692480006299517</v>
      </c>
      <c r="J10" s="133">
        <v>8.559896185806238</v>
      </c>
      <c r="K10" s="133">
        <v>9.020297901906504</v>
      </c>
      <c r="L10" s="271">
        <v>9.020297901906504</v>
      </c>
    </row>
    <row r="11" spans="2:12" ht="11.25">
      <c r="B11" s="75" t="s">
        <v>46</v>
      </c>
      <c r="C11" s="265">
        <v>2966.7304429214764</v>
      </c>
      <c r="D11" s="133">
        <v>2848.4180999800005</v>
      </c>
      <c r="E11" s="133">
        <v>2826.08042139</v>
      </c>
      <c r="F11" s="266">
        <v>-22.33767859000045</v>
      </c>
      <c r="G11" s="136">
        <v>-140.65002153147634</v>
      </c>
      <c r="H11" s="133">
        <v>-0.7842134758993874</v>
      </c>
      <c r="I11" s="133">
        <v>-0.7249013767914203</v>
      </c>
      <c r="J11" s="133">
        <v>-2.12801271375177</v>
      </c>
      <c r="K11" s="133">
        <v>-4.7409100434811275</v>
      </c>
      <c r="L11" s="271">
        <v>-4.7409100434811275</v>
      </c>
    </row>
    <row r="12" spans="2:12" ht="11.25">
      <c r="B12" s="75" t="s">
        <v>131</v>
      </c>
      <c r="C12" s="265">
        <v>82.51245173000001</v>
      </c>
      <c r="D12" s="133">
        <v>92.80558161</v>
      </c>
      <c r="E12" s="133">
        <v>27.1168246</v>
      </c>
      <c r="F12" s="266">
        <v>-65.68875701</v>
      </c>
      <c r="G12" s="136">
        <v>-55.39562713000001</v>
      </c>
      <c r="H12" s="133">
        <v>-70.78104125896874</v>
      </c>
      <c r="I12" s="133">
        <v>-30.892036097611154</v>
      </c>
      <c r="J12" s="133">
        <v>-0.3960809992006653</v>
      </c>
      <c r="K12" s="133">
        <v>-67.13608185012781</v>
      </c>
      <c r="L12" s="271">
        <v>-67.13608185012781</v>
      </c>
    </row>
    <row r="13" spans="2:12" ht="11.25">
      <c r="B13" s="75" t="s">
        <v>133</v>
      </c>
      <c r="C13" s="265">
        <v>663.70561146</v>
      </c>
      <c r="D13" s="133">
        <v>449.55680738999996</v>
      </c>
      <c r="E13" s="133">
        <v>434.40053144999996</v>
      </c>
      <c r="F13" s="266">
        <v>-15.15627594</v>
      </c>
      <c r="G13" s="136">
        <v>-229.30508001000004</v>
      </c>
      <c r="H13" s="133">
        <v>-3.371381701011951</v>
      </c>
      <c r="I13" s="133">
        <v>-45.80463233971922</v>
      </c>
      <c r="J13" s="133">
        <v>-31.34746508724807</v>
      </c>
      <c r="K13" s="133">
        <v>-34.54921520183949</v>
      </c>
      <c r="L13" s="271">
        <v>-34.54921520183949</v>
      </c>
    </row>
    <row r="14" spans="2:12" ht="11.25">
      <c r="B14" s="75" t="s">
        <v>134</v>
      </c>
      <c r="C14" s="265">
        <v>12006.5000277</v>
      </c>
      <c r="D14" s="133">
        <v>13563.05180933462</v>
      </c>
      <c r="E14" s="133">
        <v>14163.65204484974</v>
      </c>
      <c r="F14" s="266">
        <v>600.6002355151195</v>
      </c>
      <c r="G14" s="136">
        <v>2157.1520171497395</v>
      </c>
      <c r="H14" s="133">
        <v>4.428208665410856</v>
      </c>
      <c r="I14" s="133">
        <v>11.932957344354378</v>
      </c>
      <c r="J14" s="133">
        <v>16.16987983085827</v>
      </c>
      <c r="K14" s="133">
        <v>17.966534895040276</v>
      </c>
      <c r="L14" s="271">
        <v>17.966534895040276</v>
      </c>
    </row>
    <row r="15" spans="2:14" ht="11.25">
      <c r="B15" s="75" t="s">
        <v>47</v>
      </c>
      <c r="C15" s="265">
        <v>22437.473231883</v>
      </c>
      <c r="D15" s="133">
        <v>24121.777748610006</v>
      </c>
      <c r="E15" s="133">
        <v>24150.83279788</v>
      </c>
      <c r="F15" s="266">
        <v>29.055049269994925</v>
      </c>
      <c r="G15" s="136">
        <v>1713.3595659970015</v>
      </c>
      <c r="H15" s="133">
        <v>0.12045152547543554</v>
      </c>
      <c r="I15" s="133">
        <v>6.393929428489042</v>
      </c>
      <c r="J15" s="133">
        <v>7.206639081528743</v>
      </c>
      <c r="K15" s="133">
        <v>7.636152022511911</v>
      </c>
      <c r="L15" s="271">
        <v>7.636152022511911</v>
      </c>
      <c r="M15" s="51"/>
      <c r="N15" s="53"/>
    </row>
    <row r="16" spans="2:14" ht="11.25">
      <c r="B16" s="75" t="s">
        <v>129</v>
      </c>
      <c r="C16" s="265">
        <v>5.375</v>
      </c>
      <c r="D16" s="133">
        <v>2.567</v>
      </c>
      <c r="E16" s="133">
        <v>2.567</v>
      </c>
      <c r="F16" s="265">
        <v>0</v>
      </c>
      <c r="G16" s="136">
        <v>-2.808</v>
      </c>
      <c r="H16" s="133">
        <v>0</v>
      </c>
      <c r="I16" s="133">
        <v>-47.104883577168756</v>
      </c>
      <c r="J16" s="133">
        <v>-52.241860465116275</v>
      </c>
      <c r="K16" s="133">
        <v>-52.241860465116275</v>
      </c>
      <c r="L16" s="271">
        <v>-52.241860465116275</v>
      </c>
      <c r="M16" s="51"/>
      <c r="N16" s="53"/>
    </row>
    <row r="17" spans="2:12" ht="11.25">
      <c r="B17" s="72" t="s">
        <v>41</v>
      </c>
      <c r="C17" s="38">
        <v>-15639.791960522669</v>
      </c>
      <c r="D17" s="132">
        <v>-18932.96660834269</v>
      </c>
      <c r="E17" s="132">
        <v>-19866.577115358436</v>
      </c>
      <c r="F17" s="266">
        <v>-933.6105070157464</v>
      </c>
      <c r="G17" s="140">
        <v>-4226.785154835767</v>
      </c>
      <c r="H17" s="132">
        <v>4.931136922854747</v>
      </c>
      <c r="I17" s="132">
        <v>18.87519671763851</v>
      </c>
      <c r="J17" s="132">
        <v>21.702990996163773</v>
      </c>
      <c r="K17" s="132">
        <v>27.025840020793424</v>
      </c>
      <c r="L17" s="270">
        <v>27.025840020793424</v>
      </c>
    </row>
    <row r="18" spans="2:12" ht="12" thickBot="1">
      <c r="B18" s="76" t="s">
        <v>48</v>
      </c>
      <c r="C18" s="40">
        <v>30519.820011610886</v>
      </c>
      <c r="D18" s="135">
        <v>31658.478572075644</v>
      </c>
      <c r="E18" s="135">
        <v>32273.561698443766</v>
      </c>
      <c r="F18" s="267">
        <v>615.0831263681212</v>
      </c>
      <c r="G18" s="139">
        <v>1753.74168683288</v>
      </c>
      <c r="H18" s="135">
        <v>1.942870138145726</v>
      </c>
      <c r="I18" s="135">
        <v>14.093587509674999</v>
      </c>
      <c r="J18" s="135">
        <v>4.254460948747996</v>
      </c>
      <c r="K18" s="135">
        <v>5.746208304954137</v>
      </c>
      <c r="L18" s="272">
        <v>5.746208304954137</v>
      </c>
    </row>
    <row r="19" spans="2:13" ht="11.25">
      <c r="B19" s="128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6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6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93" t="s">
        <v>74</v>
      </c>
      <c r="C22" s="293"/>
      <c r="D22" s="293"/>
      <c r="E22" s="293"/>
      <c r="F22" s="293"/>
      <c r="G22" s="293"/>
      <c r="H22" s="293"/>
      <c r="I22" s="293"/>
      <c r="J22" s="293"/>
      <c r="K22" s="293"/>
      <c r="L22" s="197"/>
    </row>
    <row r="23" spans="2:12" ht="11.25">
      <c r="B23" s="294" t="s">
        <v>113</v>
      </c>
      <c r="C23" s="295"/>
      <c r="D23" s="295"/>
      <c r="E23" s="295"/>
      <c r="F23" s="295"/>
      <c r="G23" s="295"/>
      <c r="H23" s="295"/>
      <c r="I23" s="295"/>
      <c r="J23" s="295"/>
      <c r="K23" s="295"/>
      <c r="L23" s="198"/>
    </row>
    <row r="24" spans="2:12" ht="11.25">
      <c r="B24" s="69"/>
      <c r="C24" s="22"/>
      <c r="D24" s="22"/>
      <c r="E24" s="22"/>
      <c r="F24" s="299" t="s">
        <v>106</v>
      </c>
      <c r="G24" s="300"/>
      <c r="H24" s="127" t="s">
        <v>122</v>
      </c>
      <c r="I24" s="296" t="s">
        <v>158</v>
      </c>
      <c r="J24" s="297"/>
      <c r="K24" s="298"/>
      <c r="L24" s="198" t="s">
        <v>159</v>
      </c>
    </row>
    <row r="25" spans="2:12" ht="11.25">
      <c r="B25" s="70"/>
      <c r="C25" s="12">
        <f>C5</f>
        <v>39995</v>
      </c>
      <c r="D25" s="12">
        <f>D5</f>
        <v>40353</v>
      </c>
      <c r="E25" s="12">
        <f>E5</f>
        <v>40385</v>
      </c>
      <c r="F25" s="12" t="s">
        <v>108</v>
      </c>
      <c r="G25" s="58" t="s">
        <v>107</v>
      </c>
      <c r="H25" s="58" t="s">
        <v>125</v>
      </c>
      <c r="I25" s="12">
        <v>40299</v>
      </c>
      <c r="J25" s="12">
        <v>40330</v>
      </c>
      <c r="K25" s="12">
        <v>40210</v>
      </c>
      <c r="L25" s="12">
        <v>40360</v>
      </c>
    </row>
    <row r="26" spans="2:12" ht="11.25">
      <c r="B26" s="78"/>
      <c r="C26" s="35"/>
      <c r="D26" s="35"/>
      <c r="E26" s="35"/>
      <c r="F26" s="35"/>
      <c r="G26" s="35"/>
      <c r="H26" s="35"/>
      <c r="I26" s="35"/>
      <c r="J26" s="35"/>
      <c r="K26" s="35"/>
      <c r="L26" s="273"/>
    </row>
    <row r="27" spans="2:12" ht="11.25">
      <c r="B27" s="72" t="s">
        <v>48</v>
      </c>
      <c r="C27" s="38">
        <v>30519.84266395036</v>
      </c>
      <c r="D27" s="38">
        <v>31658.51771217521</v>
      </c>
      <c r="E27" s="38">
        <v>32273.57639776521</v>
      </c>
      <c r="F27" s="38">
        <v>615.0586855900001</v>
      </c>
      <c r="G27" s="38">
        <v>1753.73373381485</v>
      </c>
      <c r="H27" s="38">
        <v>1.9427905348627907</v>
      </c>
      <c r="I27" s="38">
        <v>14.093587509674999</v>
      </c>
      <c r="J27" s="38">
        <v>4.254460948747996</v>
      </c>
      <c r="K27" s="38">
        <v>5.746208304954137</v>
      </c>
      <c r="L27" s="274">
        <v>5.746208304954137</v>
      </c>
    </row>
    <row r="28" spans="2:12" ht="11.25">
      <c r="B28" s="74" t="s">
        <v>49</v>
      </c>
      <c r="C28" s="265">
        <v>1209.209936981903</v>
      </c>
      <c r="D28" s="265">
        <v>1135.61006398</v>
      </c>
      <c r="E28" s="265">
        <v>1229.87119317</v>
      </c>
      <c r="F28" s="265">
        <v>94.26112919000002</v>
      </c>
      <c r="G28" s="265">
        <v>20.661256188097013</v>
      </c>
      <c r="H28" s="265">
        <v>8.300483782227216</v>
      </c>
      <c r="I28" s="265">
        <v>-8.441790593618691</v>
      </c>
      <c r="J28" s="265">
        <v>0.23439985405513397</v>
      </c>
      <c r="K28" s="265">
        <v>1.7086574924835674</v>
      </c>
      <c r="L28" s="275">
        <v>1.7086574924835674</v>
      </c>
    </row>
    <row r="29" spans="2:12" ht="11.25">
      <c r="B29" s="74" t="s">
        <v>50</v>
      </c>
      <c r="C29" s="265">
        <v>19115.511727682893</v>
      </c>
      <c r="D29" s="265">
        <v>20054.186608165208</v>
      </c>
      <c r="E29" s="265">
        <v>20456.80079360521</v>
      </c>
      <c r="F29" s="265">
        <v>402.61418544000117</v>
      </c>
      <c r="G29" s="265">
        <v>1341.2890659223158</v>
      </c>
      <c r="H29" s="265">
        <v>2.0076315898849466</v>
      </c>
      <c r="I29" s="265">
        <v>20.007983528201322</v>
      </c>
      <c r="J29" s="265">
        <v>4.739390874665217</v>
      </c>
      <c r="K29" s="265">
        <v>7.016757306998356</v>
      </c>
      <c r="L29" s="275">
        <v>7.016757306998356</v>
      </c>
    </row>
    <row r="30" spans="2:12" ht="11.25">
      <c r="B30" s="74" t="s">
        <v>51</v>
      </c>
      <c r="C30" s="265">
        <v>10191.18192236</v>
      </c>
      <c r="D30" s="265">
        <v>10464.78864003</v>
      </c>
      <c r="E30" s="265">
        <v>10582.96641099</v>
      </c>
      <c r="F30" s="265">
        <v>118.177770960001</v>
      </c>
      <c r="G30" s="265">
        <v>391.78448863000085</v>
      </c>
      <c r="H30" s="265">
        <v>1.1292896113347801</v>
      </c>
      <c r="I30" s="265">
        <v>5.925579062232433</v>
      </c>
      <c r="J30" s="265">
        <v>3.7870519032434657</v>
      </c>
      <c r="K30" s="265">
        <v>3.844347904048351</v>
      </c>
      <c r="L30" s="275">
        <v>3.844347904048351</v>
      </c>
    </row>
    <row r="31" spans="2:12" ht="12" thickBot="1">
      <c r="B31" s="79" t="s">
        <v>104</v>
      </c>
      <c r="C31" s="265">
        <v>3.93907692556274</v>
      </c>
      <c r="D31" s="265">
        <v>3.9324</v>
      </c>
      <c r="E31" s="265">
        <v>3.938</v>
      </c>
      <c r="F31" s="265">
        <v>0.005600000000000271</v>
      </c>
      <c r="G31" s="265">
        <v>-0.001076925562739639</v>
      </c>
      <c r="H31" s="265">
        <v>0.1424066727698167</v>
      </c>
      <c r="I31" s="265">
        <v>-0.1449862646190958</v>
      </c>
      <c r="J31" s="265">
        <v>-0.1695048278800959</v>
      </c>
      <c r="K31" s="265">
        <v>-0.027339541295856584</v>
      </c>
      <c r="L31" s="276">
        <v>-0.027339541295856584</v>
      </c>
    </row>
    <row r="32" spans="2:11" ht="11.25">
      <c r="B32" s="42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6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2" t="s">
        <v>74</v>
      </c>
      <c r="C35" s="293"/>
      <c r="D35" s="293"/>
      <c r="E35" s="293"/>
      <c r="F35" s="293"/>
      <c r="G35" s="293"/>
      <c r="H35" s="293"/>
      <c r="I35" s="293"/>
      <c r="J35" s="293"/>
      <c r="K35" s="293"/>
      <c r="L35" s="197"/>
    </row>
    <row r="36" spans="2:12" ht="11.25">
      <c r="B36" s="294" t="s">
        <v>165</v>
      </c>
      <c r="C36" s="295"/>
      <c r="D36" s="295"/>
      <c r="E36" s="295"/>
      <c r="F36" s="295"/>
      <c r="G36" s="295"/>
      <c r="H36" s="295"/>
      <c r="I36" s="295"/>
      <c r="J36" s="295"/>
      <c r="K36" s="295"/>
      <c r="L36" s="198"/>
    </row>
    <row r="37" spans="2:12" ht="11.25">
      <c r="B37" s="69"/>
      <c r="C37" s="22"/>
      <c r="D37" s="22"/>
      <c r="E37" s="22"/>
      <c r="F37" s="299" t="s">
        <v>106</v>
      </c>
      <c r="G37" s="300"/>
      <c r="H37" s="127" t="s">
        <v>123</v>
      </c>
      <c r="I37" s="296" t="s">
        <v>158</v>
      </c>
      <c r="J37" s="297"/>
      <c r="K37" s="298"/>
      <c r="L37" s="291" t="s">
        <v>159</v>
      </c>
    </row>
    <row r="38" spans="2:12" ht="11.25">
      <c r="B38" s="70"/>
      <c r="C38" s="12">
        <f>C25</f>
        <v>39995</v>
      </c>
      <c r="D38" s="12">
        <f>D25</f>
        <v>40353</v>
      </c>
      <c r="E38" s="12">
        <f>E25</f>
        <v>40385</v>
      </c>
      <c r="F38" s="12" t="s">
        <v>108</v>
      </c>
      <c r="G38" s="58" t="s">
        <v>107</v>
      </c>
      <c r="H38" s="58" t="s">
        <v>125</v>
      </c>
      <c r="I38" s="12">
        <v>40299</v>
      </c>
      <c r="J38" s="12">
        <v>40330</v>
      </c>
      <c r="K38" s="12">
        <v>40210</v>
      </c>
      <c r="L38" s="12">
        <v>40360</v>
      </c>
    </row>
    <row r="39" spans="2:12" ht="11.25">
      <c r="B39" s="80"/>
      <c r="C39" s="36"/>
      <c r="D39" s="85"/>
      <c r="E39" s="85"/>
      <c r="F39" s="36"/>
      <c r="G39" s="37"/>
      <c r="H39" s="37"/>
      <c r="I39" s="37"/>
      <c r="J39" s="37"/>
      <c r="K39" s="37"/>
      <c r="L39" s="277"/>
    </row>
    <row r="40" spans="2:12" ht="11.25">
      <c r="B40" s="81" t="s">
        <v>135</v>
      </c>
      <c r="C40" s="149">
        <v>34319.578525443</v>
      </c>
      <c r="D40" s="149">
        <v>37644.530801814624</v>
      </c>
      <c r="E40" s="149">
        <v>38237.21586290974</v>
      </c>
      <c r="F40" s="149">
        <v>592.6850610951151</v>
      </c>
      <c r="G40" s="149">
        <v>3917.6373374667382</v>
      </c>
      <c r="H40" s="149">
        <v>1.5744254171087855</v>
      </c>
      <c r="I40" s="149">
        <v>8.800945974438346</v>
      </c>
      <c r="J40" s="149">
        <v>10.64106884391187</v>
      </c>
      <c r="K40" s="149">
        <v>11.415167393627446</v>
      </c>
      <c r="L40" s="278">
        <v>11.415167393627446</v>
      </c>
    </row>
    <row r="41" spans="2:12" ht="11.25">
      <c r="B41" s="185" t="s">
        <v>46</v>
      </c>
      <c r="C41" s="186">
        <v>2966.7304429214764</v>
      </c>
      <c r="D41" s="186">
        <v>2848.4180999800005</v>
      </c>
      <c r="E41" s="186">
        <v>2826.08042139</v>
      </c>
      <c r="F41" s="186">
        <v>-22.33767859000045</v>
      </c>
      <c r="G41" s="186">
        <v>-140.65002153147634</v>
      </c>
      <c r="H41" s="186">
        <v>-0.7842134758993874</v>
      </c>
      <c r="I41" s="186">
        <v>-0.7249013767914203</v>
      </c>
      <c r="J41" s="186">
        <v>-2.12801271375177</v>
      </c>
      <c r="K41" s="186">
        <v>-4.7409100434811275</v>
      </c>
      <c r="L41" s="279">
        <v>-4.7409100434811275</v>
      </c>
    </row>
    <row r="42" spans="2:12" ht="11.25">
      <c r="B42" s="82" t="s">
        <v>136</v>
      </c>
      <c r="C42" s="165">
        <v>11933.35496535</v>
      </c>
      <c r="D42" s="165">
        <v>13474.81741258462</v>
      </c>
      <c r="E42" s="165">
        <v>14084.44364809974</v>
      </c>
      <c r="F42" s="165">
        <v>609.6262355151193</v>
      </c>
      <c r="G42" s="165">
        <v>2151.0886827497397</v>
      </c>
      <c r="H42" s="165">
        <v>4.524189210502899</v>
      </c>
      <c r="I42" s="165">
        <v>12.542026969932651</v>
      </c>
      <c r="J42" s="165">
        <v>16.46302576656833</v>
      </c>
      <c r="K42" s="165">
        <v>18.025850140180168</v>
      </c>
      <c r="L42" s="280">
        <v>18.025850140180168</v>
      </c>
    </row>
    <row r="43" spans="2:12" ht="11.25">
      <c r="B43" s="83" t="s">
        <v>81</v>
      </c>
      <c r="C43" s="151">
        <v>9054.03290024</v>
      </c>
      <c r="D43" s="151">
        <v>10292.35144201462</v>
      </c>
      <c r="E43" s="151">
        <v>10814.41071616974</v>
      </c>
      <c r="F43" s="150">
        <v>522.059274155119</v>
      </c>
      <c r="G43" s="150">
        <v>1760.3778159297399</v>
      </c>
      <c r="H43" s="150">
        <v>5.072303225325266</v>
      </c>
      <c r="I43" s="150">
        <v>13.27714191324385</v>
      </c>
      <c r="J43" s="150">
        <v>18.19216690971426</v>
      </c>
      <c r="K43" s="150">
        <v>19.443024289022382</v>
      </c>
      <c r="L43" s="279">
        <v>19.443024289022382</v>
      </c>
    </row>
    <row r="44" spans="2:12" ht="11.25">
      <c r="B44" s="84" t="s">
        <v>82</v>
      </c>
      <c r="C44" s="152">
        <v>2841.10396415</v>
      </c>
      <c r="D44" s="152">
        <v>3341.09514709462</v>
      </c>
      <c r="E44" s="152">
        <v>3470.0727887897397</v>
      </c>
      <c r="F44" s="150">
        <v>128.97764169511947</v>
      </c>
      <c r="G44" s="150">
        <v>628.9688246397395</v>
      </c>
      <c r="H44" s="150">
        <v>3.8603402781652902</v>
      </c>
      <c r="I44" s="150">
        <v>21.68948109228479</v>
      </c>
      <c r="J44" s="150">
        <v>19.435940047580647</v>
      </c>
      <c r="K44" s="150">
        <v>22.138184050153686</v>
      </c>
      <c r="L44" s="279">
        <v>22.138184050153686</v>
      </c>
    </row>
    <row r="45" spans="2:12" ht="11.25">
      <c r="B45" s="84" t="s">
        <v>83</v>
      </c>
      <c r="C45" s="152">
        <v>2019.5808532199999</v>
      </c>
      <c r="D45" s="152">
        <v>2077.1867594</v>
      </c>
      <c r="E45" s="152">
        <v>2100.66124339</v>
      </c>
      <c r="F45" s="150">
        <v>23.474483989999953</v>
      </c>
      <c r="G45" s="150">
        <v>81.0803901700001</v>
      </c>
      <c r="H45" s="150">
        <v>1.1301094561560083</v>
      </c>
      <c r="I45" s="150">
        <v>16.473424139264292</v>
      </c>
      <c r="J45" s="150">
        <v>23.63655719777782</v>
      </c>
      <c r="K45" s="150">
        <v>4.014713748188203</v>
      </c>
      <c r="L45" s="279">
        <v>4.014713748188203</v>
      </c>
    </row>
    <row r="46" spans="2:12" ht="11.25">
      <c r="B46" s="84" t="s">
        <v>84</v>
      </c>
      <c r="C46" s="152">
        <v>4193.34808287</v>
      </c>
      <c r="D46" s="152">
        <v>4874.0695355200005</v>
      </c>
      <c r="E46" s="152">
        <v>5243.67668399</v>
      </c>
      <c r="F46" s="150">
        <v>369.60714846999963</v>
      </c>
      <c r="G46" s="150">
        <v>1050.3286011199998</v>
      </c>
      <c r="H46" s="150">
        <v>7.583132447669671</v>
      </c>
      <c r="I46" s="150">
        <v>6.73511897812451</v>
      </c>
      <c r="J46" s="150">
        <v>15.207703961959297</v>
      </c>
      <c r="K46" s="150">
        <v>25.047493801209477</v>
      </c>
      <c r="L46" s="279">
        <v>25.047493801209477</v>
      </c>
    </row>
    <row r="47" spans="2:12" ht="11.25">
      <c r="B47" s="83" t="s">
        <v>85</v>
      </c>
      <c r="C47" s="152">
        <v>1955.94295111</v>
      </c>
      <c r="D47" s="152">
        <v>2103.95231164</v>
      </c>
      <c r="E47" s="152">
        <v>2132.3187975399997</v>
      </c>
      <c r="F47" s="150">
        <v>28.36648589999959</v>
      </c>
      <c r="G47" s="150">
        <v>176.37584642999968</v>
      </c>
      <c r="H47" s="150">
        <v>1.3482475692563738</v>
      </c>
      <c r="I47" s="150">
        <v>7.943759013240603</v>
      </c>
      <c r="J47" s="150">
        <v>8.515403952557875</v>
      </c>
      <c r="K47" s="150">
        <v>9.017433066230595</v>
      </c>
      <c r="L47" s="279">
        <v>9.017433066230595</v>
      </c>
    </row>
    <row r="48" spans="2:12" ht="11.25">
      <c r="B48" s="83" t="s">
        <v>86</v>
      </c>
      <c r="C48" s="152">
        <v>64.07642326</v>
      </c>
      <c r="D48" s="152">
        <v>64.814</v>
      </c>
      <c r="E48" s="152">
        <v>65.638</v>
      </c>
      <c r="F48" s="150">
        <v>0.8240000000000123</v>
      </c>
      <c r="G48" s="150">
        <v>1.5615767400000067</v>
      </c>
      <c r="H48" s="150">
        <v>1.2713302681519616</v>
      </c>
      <c r="I48" s="150">
        <v>13.536041762791573</v>
      </c>
      <c r="J48" s="150">
        <v>3.434291052367655</v>
      </c>
      <c r="K48" s="150">
        <v>2.4370535378725355</v>
      </c>
      <c r="L48" s="279">
        <v>2.4370535378725355</v>
      </c>
    </row>
    <row r="49" spans="2:12" ht="11.25">
      <c r="B49" s="83" t="s">
        <v>87</v>
      </c>
      <c r="C49" s="152">
        <v>859.30269074</v>
      </c>
      <c r="D49" s="152">
        <v>1013.69965893</v>
      </c>
      <c r="E49" s="152">
        <v>1072.0761343900003</v>
      </c>
      <c r="F49" s="150">
        <v>58.37647546000028</v>
      </c>
      <c r="G49" s="150">
        <v>212.77344365000033</v>
      </c>
      <c r="H49" s="150">
        <v>5.758754572495264</v>
      </c>
      <c r="I49" s="150">
        <v>15.188490842367642</v>
      </c>
      <c r="J49" s="150">
        <v>17.820622252497543</v>
      </c>
      <c r="K49" s="150">
        <v>24.761175071704677</v>
      </c>
      <c r="L49" s="279">
        <v>24.761175071704677</v>
      </c>
    </row>
    <row r="50" spans="2:13" ht="11.25">
      <c r="B50" s="82" t="s">
        <v>119</v>
      </c>
      <c r="C50" s="164">
        <v>22293.102560093</v>
      </c>
      <c r="D50" s="164">
        <v>24057.514389230004</v>
      </c>
      <c r="E50" s="164">
        <v>24042.40021481</v>
      </c>
      <c r="F50" s="165">
        <v>-15.11417442000311</v>
      </c>
      <c r="G50" s="165">
        <v>1749.2976547170001</v>
      </c>
      <c r="H50" s="165">
        <v>-0.0628251704455776</v>
      </c>
      <c r="I50" s="165">
        <v>6.78113381271559</v>
      </c>
      <c r="J50" s="165">
        <v>7.628398725652907</v>
      </c>
      <c r="K50" s="165">
        <v>7.8468111381160055</v>
      </c>
      <c r="L50" s="280">
        <v>7.8468111381160055</v>
      </c>
      <c r="M50" s="49"/>
    </row>
    <row r="51" spans="2:12" ht="11.25">
      <c r="B51" s="83" t="s">
        <v>88</v>
      </c>
      <c r="C51" s="153">
        <v>18373.226679043</v>
      </c>
      <c r="D51" s="153">
        <v>19927.61517797</v>
      </c>
      <c r="E51" s="153">
        <v>19943.65018755</v>
      </c>
      <c r="F51" s="150">
        <v>16.035009579998587</v>
      </c>
      <c r="G51" s="150">
        <v>1570.4235085069995</v>
      </c>
      <c r="H51" s="150">
        <v>0.08046627474884856</v>
      </c>
      <c r="I51" s="150">
        <v>7.9815357955837385</v>
      </c>
      <c r="J51" s="150">
        <v>8.45952456522523</v>
      </c>
      <c r="K51" s="150">
        <v>8.5473473763771</v>
      </c>
      <c r="L51" s="279">
        <v>8.5473473763771</v>
      </c>
    </row>
    <row r="52" spans="2:12" ht="11.25">
      <c r="B52" s="84" t="s">
        <v>82</v>
      </c>
      <c r="C52" s="152">
        <v>14807.398994823</v>
      </c>
      <c r="D52" s="152">
        <v>16016.276597819999</v>
      </c>
      <c r="E52" s="152">
        <v>16097.636012349998</v>
      </c>
      <c r="F52" s="150">
        <v>81.35941452999941</v>
      </c>
      <c r="G52" s="150">
        <v>1290.237017526999</v>
      </c>
      <c r="H52" s="150">
        <v>0.5079795796051211</v>
      </c>
      <c r="I52" s="150">
        <v>7.885212362603289</v>
      </c>
      <c r="J52" s="150">
        <v>8.518961303094486</v>
      </c>
      <c r="K52" s="150">
        <v>8.713461547015067</v>
      </c>
      <c r="L52" s="279">
        <v>8.713461547015067</v>
      </c>
    </row>
    <row r="53" spans="2:12" ht="11.25">
      <c r="B53" s="84" t="s">
        <v>89</v>
      </c>
      <c r="C53" s="152">
        <v>2348.66601343</v>
      </c>
      <c r="D53" s="152">
        <v>2509.2895921500003</v>
      </c>
      <c r="E53" s="152">
        <v>2453.20387289</v>
      </c>
      <c r="F53" s="150">
        <v>-56.08571926000013</v>
      </c>
      <c r="G53" s="150">
        <v>104.53785946000016</v>
      </c>
      <c r="H53" s="150">
        <v>-2.2351234164226126</v>
      </c>
      <c r="I53" s="150">
        <v>11.110939859031465</v>
      </c>
      <c r="J53" s="150">
        <v>9.798578464828967</v>
      </c>
      <c r="K53" s="150">
        <v>4.450946148249191</v>
      </c>
      <c r="L53" s="279">
        <v>4.450946148249191</v>
      </c>
    </row>
    <row r="54" spans="2:12" ht="11.25">
      <c r="B54" s="84" t="s">
        <v>84</v>
      </c>
      <c r="C54" s="152">
        <v>1217.16167079</v>
      </c>
      <c r="D54" s="152">
        <v>1402.048988</v>
      </c>
      <c r="E54" s="152">
        <v>1392.81030231</v>
      </c>
      <c r="F54" s="150">
        <v>-9.238685690000011</v>
      </c>
      <c r="G54" s="150">
        <v>175.64863151999998</v>
      </c>
      <c r="H54" s="150">
        <v>-0.658941718090667</v>
      </c>
      <c r="I54" s="150">
        <v>3.909719620371055</v>
      </c>
      <c r="J54" s="150">
        <v>5.496807357818279</v>
      </c>
      <c r="K54" s="150">
        <v>14.431002531158832</v>
      </c>
      <c r="L54" s="279">
        <v>14.431002531158832</v>
      </c>
    </row>
    <row r="55" spans="2:12" ht="11.25">
      <c r="B55" s="83" t="s">
        <v>85</v>
      </c>
      <c r="C55" s="152">
        <v>3224.9133907699993</v>
      </c>
      <c r="D55" s="152">
        <v>3385.27809879</v>
      </c>
      <c r="E55" s="152">
        <v>3364.17518228</v>
      </c>
      <c r="F55" s="150">
        <v>-21.102916509999886</v>
      </c>
      <c r="G55" s="150">
        <v>139.26179151000088</v>
      </c>
      <c r="H55" s="150">
        <v>-0.6233732028557034</v>
      </c>
      <c r="I55" s="150">
        <v>2.6514606038734234</v>
      </c>
      <c r="J55" s="150">
        <v>3.0249172817812253</v>
      </c>
      <c r="K55" s="150">
        <v>4.31831105630871</v>
      </c>
      <c r="L55" s="279">
        <v>4.31831105630871</v>
      </c>
    </row>
    <row r="56" spans="2:12" ht="11.25">
      <c r="B56" s="83" t="s">
        <v>86</v>
      </c>
      <c r="C56" s="152">
        <v>74.08714988</v>
      </c>
      <c r="D56" s="152">
        <v>102.36931501</v>
      </c>
      <c r="E56" s="152">
        <v>98.8154273</v>
      </c>
      <c r="F56" s="150">
        <v>-3.553887709999998</v>
      </c>
      <c r="G56" s="150">
        <v>24.728277419999998</v>
      </c>
      <c r="H56" s="150">
        <v>-3.4716337699952713</v>
      </c>
      <c r="I56" s="150">
        <v>9.648900697563478</v>
      </c>
      <c r="J56" s="150">
        <v>30.404037727148726</v>
      </c>
      <c r="K56" s="150">
        <v>33.37728264625206</v>
      </c>
      <c r="L56" s="279">
        <v>33.37728264625206</v>
      </c>
    </row>
    <row r="57" spans="2:12" ht="11.25">
      <c r="B57" s="83" t="s">
        <v>87</v>
      </c>
      <c r="C57" s="152">
        <v>620.8753404000001</v>
      </c>
      <c r="D57" s="152">
        <v>642.2517974599999</v>
      </c>
      <c r="E57" s="152">
        <v>635.7594176800001</v>
      </c>
      <c r="F57" s="150">
        <v>-6.492379779999851</v>
      </c>
      <c r="G57" s="150">
        <v>14.884077279999929</v>
      </c>
      <c r="H57" s="150">
        <v>-1.0108776348585</v>
      </c>
      <c r="I57" s="150">
        <v>-5.978695135958612</v>
      </c>
      <c r="J57" s="150">
        <v>4.485362378568891</v>
      </c>
      <c r="K57" s="150">
        <v>2.3972730613541327</v>
      </c>
      <c r="L57" s="279">
        <v>2.3972730613541327</v>
      </c>
    </row>
    <row r="58" spans="2:12" ht="12" thickBot="1">
      <c r="B58" s="268" t="s">
        <v>90</v>
      </c>
      <c r="C58" s="166">
        <v>93.121</v>
      </c>
      <c r="D58" s="166">
        <v>112.19899999999998</v>
      </c>
      <c r="E58" s="191">
        <v>110.372</v>
      </c>
      <c r="F58" s="166">
        <v>-1.826999999999984</v>
      </c>
      <c r="G58" s="166">
        <v>17.251000000000005</v>
      </c>
      <c r="H58" s="166">
        <v>-1.6283567589728825</v>
      </c>
      <c r="I58" s="166">
        <v>25.13388777717371</v>
      </c>
      <c r="J58" s="166">
        <v>10.445131314722222</v>
      </c>
      <c r="K58" s="166">
        <v>18.525359478527935</v>
      </c>
      <c r="L58" s="281">
        <v>18.525359478527935</v>
      </c>
    </row>
    <row r="59" ht="11.25">
      <c r="B59" s="54" t="s">
        <v>118</v>
      </c>
    </row>
    <row r="62" spans="2:11" ht="12">
      <c r="B62" s="301"/>
      <c r="C62" s="301"/>
      <c r="D62" s="301"/>
      <c r="E62" s="301"/>
      <c r="F62" s="301"/>
      <c r="G62" s="301"/>
      <c r="H62" s="301"/>
      <c r="I62" s="301"/>
      <c r="J62" s="301"/>
      <c r="K62" s="301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B23:K23"/>
    <mergeCell ref="B3:K3"/>
    <mergeCell ref="I4:K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4">
      <selection activeCell="N43" sqref="N43"/>
    </sheetView>
  </sheetViews>
  <sheetFormatPr defaultColWidth="9.140625" defaultRowHeight="12"/>
  <cols>
    <col min="1" max="16384" width="9.28125" style="1" customWidth="1"/>
  </cols>
  <sheetData>
    <row r="2" spans="1:14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3"/>
      <c r="N3" s="63"/>
    </row>
    <row r="4" spans="1:17" ht="15">
      <c r="A4" s="183"/>
      <c r="N4" s="183"/>
      <c r="O4" s="184"/>
      <c r="P4" s="184"/>
      <c r="Q4" s="184"/>
    </row>
    <row r="5" spans="1:17" ht="15.75">
      <c r="A5" s="183"/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183"/>
      <c r="O5" s="184"/>
      <c r="P5" s="184"/>
      <c r="Q5" s="184"/>
    </row>
    <row r="6" spans="1:17" ht="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4"/>
      <c r="Q6" s="184"/>
    </row>
    <row r="7" spans="1:17" ht="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4"/>
      <c r="Q7" s="184"/>
    </row>
    <row r="8" spans="1:17" ht="15.75">
      <c r="A8" s="183"/>
      <c r="B8" s="183"/>
      <c r="C8" s="302" t="s">
        <v>163</v>
      </c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304"/>
      <c r="O8" s="184"/>
      <c r="P8" s="184"/>
      <c r="Q8" s="184"/>
    </row>
    <row r="9" spans="1:17" ht="1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4"/>
      <c r="Q9" s="184"/>
    </row>
    <row r="10" spans="1:17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4"/>
      <c r="Q10" s="184"/>
    </row>
    <row r="11" spans="1:17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84"/>
      <c r="Q11" s="184"/>
    </row>
    <row r="12" spans="1:17" ht="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4"/>
      <c r="Q12" s="184"/>
    </row>
    <row r="13" spans="1:17" ht="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4"/>
      <c r="Q13" s="184"/>
    </row>
    <row r="14" spans="1:17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184"/>
      <c r="Q14" s="184"/>
    </row>
    <row r="15" spans="1:17" ht="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4"/>
      <c r="Q15" s="184"/>
    </row>
    <row r="16" spans="1:24" ht="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84"/>
      <c r="Q16" s="184"/>
      <c r="X16" s="262"/>
    </row>
    <row r="17" spans="1:17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</row>
    <row r="18" spans="1:17" ht="1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4"/>
      <c r="Q18" s="184"/>
    </row>
    <row r="19" spans="1:17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184"/>
      <c r="Q19" s="184"/>
    </row>
    <row r="20" spans="1:17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  <c r="P20" s="184"/>
      <c r="Q20" s="184"/>
    </row>
    <row r="21" spans="1:17" ht="15">
      <c r="A21" s="184"/>
      <c r="B21" s="184"/>
      <c r="C21" s="184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ht="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 ht="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ht="15">
      <c r="A30" s="184"/>
      <c r="C30" s="15"/>
      <c r="D30" s="189"/>
      <c r="E30" s="189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ht="15">
      <c r="A31" s="18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184"/>
      <c r="O31" s="184"/>
      <c r="P31" s="184"/>
      <c r="Q31" s="184"/>
    </row>
    <row r="32" spans="1:17" ht="15">
      <c r="A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ht="15">
      <c r="A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15.75">
      <c r="A34" s="184"/>
      <c r="C34" s="93" t="s">
        <v>167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ht="15">
      <c r="A35" s="184"/>
      <c r="N35" s="184"/>
      <c r="O35" s="184"/>
      <c r="P35" s="184"/>
      <c r="Q35" s="184"/>
    </row>
    <row r="36" spans="2:5" ht="15">
      <c r="B36" s="126"/>
      <c r="C36" s="61"/>
      <c r="D36" s="61"/>
      <c r="E36" s="61"/>
    </row>
    <row r="37" ht="15">
      <c r="B37" s="188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4"/>
  <sheetViews>
    <sheetView showGridLines="0" zoomScale="80" zoomScaleNormal="80" zoomScalePageLayoutView="0" workbookViewId="0" topLeftCell="A1">
      <selection activeCell="N44" sqref="N44"/>
    </sheetView>
  </sheetViews>
  <sheetFormatPr defaultColWidth="9.140625" defaultRowHeight="12"/>
  <sheetData>
    <row r="4" spans="2:13" ht="18.75" customHeight="1">
      <c r="B4" s="302" t="s">
        <v>161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2:13" ht="18.75" customHeigh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8.75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5.7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13" ht="15.7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ht="15.7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15.7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ht="15.7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33" spans="2:13" ht="18">
      <c r="B33" s="305" t="s">
        <v>126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</row>
    <row r="34" ht="11.25">
      <c r="A34" s="129"/>
    </row>
    <row r="39" spans="2:13" ht="15.75">
      <c r="B39" s="93"/>
      <c r="C39" s="283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64" ht="11.25">
      <c r="B64" s="61"/>
    </row>
  </sheetData>
  <sheetProtection/>
  <mergeCells count="2">
    <mergeCell ref="B4:M4"/>
    <mergeCell ref="B33:M33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8"/>
  <sheetViews>
    <sheetView showGridLines="0" zoomScale="110" zoomScaleNormal="110" zoomScaleSheetLayoutView="75" zoomScalePageLayoutView="0" workbookViewId="0" topLeftCell="A22">
      <selection activeCell="C33" sqref="C33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7.00390625" style="2" bestFit="1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42</v>
      </c>
    </row>
    <row r="2" spans="1:4" ht="12.75" thickBot="1">
      <c r="A2" s="3" t="s">
        <v>2</v>
      </c>
      <c r="B2" s="47">
        <v>40330</v>
      </c>
      <c r="C2" s="47">
        <v>40360</v>
      </c>
      <c r="D2" s="4"/>
    </row>
    <row r="3" spans="1:4" ht="12">
      <c r="A3" s="5"/>
      <c r="B3" s="32"/>
      <c r="C3" s="32"/>
      <c r="D3" s="4"/>
    </row>
    <row r="4" spans="1:4" ht="12">
      <c r="A4" s="5" t="s">
        <v>156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38</v>
      </c>
      <c r="B6" s="33">
        <v>11.25</v>
      </c>
      <c r="C6" s="33">
        <v>11.13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100</v>
      </c>
      <c r="B10" s="33">
        <v>9.78</v>
      </c>
      <c r="C10" s="33">
        <v>9.82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5.06</v>
      </c>
      <c r="C12" s="33">
        <v>5.04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6.64</v>
      </c>
      <c r="C16" s="50">
        <v>6.5</v>
      </c>
    </row>
    <row r="17" spans="1:3" ht="12">
      <c r="A17" s="5" t="s">
        <v>37</v>
      </c>
      <c r="B17" s="50">
        <v>6.92</v>
      </c>
      <c r="C17" s="50">
        <v>6.77</v>
      </c>
    </row>
    <row r="18" spans="1:3" ht="12">
      <c r="A18" s="5" t="s">
        <v>7</v>
      </c>
      <c r="B18" s="50">
        <v>160</v>
      </c>
      <c r="C18" s="50">
        <v>150</v>
      </c>
    </row>
    <row r="19" spans="1:3" ht="12">
      <c r="A19" s="5" t="s">
        <v>8</v>
      </c>
      <c r="B19" s="50">
        <v>156.64</v>
      </c>
      <c r="C19" s="50">
        <v>120</v>
      </c>
    </row>
    <row r="20" spans="1:3" ht="12">
      <c r="A20" s="5"/>
      <c r="B20" s="33"/>
      <c r="C20" s="33"/>
    </row>
    <row r="21" spans="1:3" ht="12">
      <c r="A21" s="6" t="s">
        <v>169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286">
        <v>6.81</v>
      </c>
      <c r="C23" s="286">
        <v>6.54</v>
      </c>
    </row>
    <row r="24" spans="1:3" ht="12">
      <c r="A24" s="5" t="s">
        <v>36</v>
      </c>
      <c r="B24" s="286">
        <v>6.99</v>
      </c>
      <c r="C24" s="286">
        <v>6.87</v>
      </c>
    </row>
    <row r="25" spans="1:3" ht="12">
      <c r="A25" s="5" t="s">
        <v>7</v>
      </c>
      <c r="B25" s="50">
        <v>200</v>
      </c>
      <c r="C25" s="50">
        <v>150</v>
      </c>
    </row>
    <row r="26" spans="1:3" ht="12">
      <c r="A26" s="5" t="s">
        <v>8</v>
      </c>
      <c r="B26" s="50">
        <v>200</v>
      </c>
      <c r="C26" s="50">
        <v>100</v>
      </c>
    </row>
    <row r="27" spans="1:3" ht="12">
      <c r="A27" s="5"/>
      <c r="B27" s="33"/>
      <c r="C27" s="33"/>
    </row>
    <row r="28" spans="1:3" ht="12">
      <c r="A28" s="6" t="s">
        <v>157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6.84</v>
      </c>
      <c r="C30" s="50">
        <v>6.68</v>
      </c>
    </row>
    <row r="31" spans="1:3" ht="12">
      <c r="A31" s="5" t="s">
        <v>36</v>
      </c>
      <c r="B31" s="50">
        <v>7.34</v>
      </c>
      <c r="C31" s="50">
        <v>7.16</v>
      </c>
    </row>
    <row r="32" spans="1:3" ht="12">
      <c r="A32" s="5" t="s">
        <v>7</v>
      </c>
      <c r="B32" s="50">
        <v>282.22</v>
      </c>
      <c r="C32" s="50">
        <v>250</v>
      </c>
    </row>
    <row r="33" spans="1:3" ht="12">
      <c r="A33" s="5" t="s">
        <v>8</v>
      </c>
      <c r="B33" s="50">
        <v>330</v>
      </c>
      <c r="C33" s="50">
        <v>200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39</v>
      </c>
      <c r="B37" s="130">
        <v>3462.22</v>
      </c>
      <c r="C37" s="130">
        <v>3592.22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5"/>
      <c r="C40" s="65"/>
    </row>
    <row r="41" spans="1:3" ht="12.75" thickBot="1">
      <c r="A41" s="3" t="s">
        <v>9</v>
      </c>
      <c r="B41" s="47">
        <f>B2</f>
        <v>40330</v>
      </c>
      <c r="C41" s="47">
        <f>C2</f>
        <v>40360</v>
      </c>
    </row>
    <row r="42" spans="1:3" ht="12">
      <c r="A42" s="5"/>
      <c r="B42" s="66"/>
      <c r="C42" s="66"/>
    </row>
    <row r="43" spans="1:3" ht="12">
      <c r="A43" s="6" t="s">
        <v>10</v>
      </c>
      <c r="B43" s="30"/>
      <c r="C43" s="30"/>
    </row>
    <row r="44" spans="1:3" ht="12">
      <c r="A44" s="7" t="s">
        <v>79</v>
      </c>
      <c r="B44" s="30"/>
      <c r="C44" s="30"/>
    </row>
    <row r="45" spans="1:3" ht="12">
      <c r="A45" s="5" t="s">
        <v>11</v>
      </c>
      <c r="B45" s="289">
        <v>8.82</v>
      </c>
      <c r="C45" s="289">
        <v>8.82</v>
      </c>
    </row>
    <row r="46" spans="1:3" ht="12">
      <c r="A46" s="5" t="s">
        <v>7</v>
      </c>
      <c r="B46" s="289">
        <v>8</v>
      </c>
      <c r="C46" s="289">
        <v>8</v>
      </c>
    </row>
    <row r="47" spans="1:3" ht="12">
      <c r="A47" s="5" t="s">
        <v>8</v>
      </c>
      <c r="B47" s="289">
        <v>0</v>
      </c>
      <c r="C47" s="289">
        <v>0</v>
      </c>
    </row>
    <row r="48" spans="1:3" ht="12">
      <c r="A48" s="5"/>
      <c r="B48" s="33"/>
      <c r="C48" s="33"/>
    </row>
    <row r="49" spans="1:3" ht="12">
      <c r="A49" s="5" t="s">
        <v>12</v>
      </c>
      <c r="B49" s="130">
        <v>5448.99</v>
      </c>
      <c r="C49" s="130">
        <v>5528.99</v>
      </c>
    </row>
    <row r="50" spans="1:4" ht="12.75" thickBot="1">
      <c r="A50" s="5"/>
      <c r="B50" s="65"/>
      <c r="C50" s="65"/>
      <c r="D50" s="9"/>
    </row>
    <row r="51" spans="1:3" ht="12.75" thickBot="1">
      <c r="A51" s="3" t="s">
        <v>13</v>
      </c>
      <c r="B51" s="47">
        <f>B41</f>
        <v>40330</v>
      </c>
      <c r="C51" s="47">
        <f>C41</f>
        <v>40360</v>
      </c>
    </row>
    <row r="52" spans="1:3" ht="12">
      <c r="A52" s="5"/>
      <c r="B52" s="66"/>
      <c r="C52" s="66"/>
    </row>
    <row r="53" spans="1:3" ht="12">
      <c r="A53" s="6" t="s">
        <v>14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15</v>
      </c>
      <c r="B55" s="130">
        <v>18.57</v>
      </c>
      <c r="C55" s="130">
        <v>15.07</v>
      </c>
      <c r="D55" s="8"/>
    </row>
    <row r="56" spans="1:9" ht="12">
      <c r="A56" s="5" t="s">
        <v>16</v>
      </c>
      <c r="B56" s="131">
        <v>567.79</v>
      </c>
      <c r="C56" s="131">
        <v>612.06</v>
      </c>
      <c r="D56" s="8"/>
      <c r="G56" s="9"/>
      <c r="I56" s="9"/>
    </row>
    <row r="57" spans="1:4" ht="12">
      <c r="A57" s="5" t="s">
        <v>17</v>
      </c>
      <c r="B57" s="131">
        <v>719.5</v>
      </c>
      <c r="C57" s="131">
        <v>795.84</v>
      </c>
      <c r="D57" s="10"/>
    </row>
    <row r="58" spans="1:4" ht="12">
      <c r="A58" s="5" t="s">
        <v>18</v>
      </c>
      <c r="B58" s="131">
        <v>958.46</v>
      </c>
      <c r="C58" s="131">
        <v>1056.596</v>
      </c>
      <c r="D58" s="10"/>
    </row>
    <row r="59" spans="1:3" ht="12">
      <c r="A59" s="5" t="s">
        <v>19</v>
      </c>
      <c r="B59" s="130">
        <v>385.676</v>
      </c>
      <c r="C59" s="130">
        <v>420.5</v>
      </c>
    </row>
    <row r="60" spans="1:9" ht="12">
      <c r="A60" s="5" t="s">
        <v>20</v>
      </c>
      <c r="B60" s="131">
        <v>487.603</v>
      </c>
      <c r="C60" s="131">
        <v>543.23</v>
      </c>
      <c r="G60" s="9"/>
      <c r="I60" s="9"/>
    </row>
    <row r="61" spans="1:9" ht="12">
      <c r="A61" s="5" t="s">
        <v>21</v>
      </c>
      <c r="B61" s="131">
        <v>12.26</v>
      </c>
      <c r="C61" s="131">
        <v>13.29</v>
      </c>
      <c r="G61" s="9"/>
      <c r="I61" s="9"/>
    </row>
    <row r="62" spans="1:3" ht="12">
      <c r="A62" s="5" t="s">
        <v>22</v>
      </c>
      <c r="B62" s="131">
        <v>69.48</v>
      </c>
      <c r="C62" s="131">
        <v>76.099</v>
      </c>
    </row>
    <row r="63" spans="1:3" ht="12">
      <c r="A63" s="5" t="s">
        <v>23</v>
      </c>
      <c r="B63" s="130">
        <v>3.45</v>
      </c>
      <c r="C63" s="130">
        <v>3.475</v>
      </c>
    </row>
    <row r="64" spans="1:3" ht="12">
      <c r="A64" s="5"/>
      <c r="B64" s="131"/>
      <c r="C64" s="131"/>
    </row>
    <row r="65" spans="1:3" ht="12">
      <c r="A65" s="6" t="s">
        <v>24</v>
      </c>
      <c r="B65" s="131"/>
      <c r="C65" s="131"/>
    </row>
    <row r="66" spans="1:4" ht="12">
      <c r="A66" s="5"/>
      <c r="B66" s="131"/>
      <c r="C66" s="131"/>
      <c r="D66" s="8"/>
    </row>
    <row r="67" spans="1:4" ht="12">
      <c r="A67" s="5" t="s">
        <v>15</v>
      </c>
      <c r="B67" s="286">
        <v>4.524</v>
      </c>
      <c r="C67" s="286">
        <v>1.07</v>
      </c>
      <c r="D67" s="8"/>
    </row>
    <row r="68" spans="1:4" ht="12">
      <c r="A68" s="5" t="s">
        <v>16</v>
      </c>
      <c r="B68" s="286">
        <v>35.089</v>
      </c>
      <c r="C68" s="286">
        <v>10.159</v>
      </c>
      <c r="D68" s="9"/>
    </row>
    <row r="69" spans="1:4" ht="12">
      <c r="A69" s="5" t="s">
        <v>17</v>
      </c>
      <c r="B69" s="286">
        <v>158.45</v>
      </c>
      <c r="C69" s="286">
        <v>161.6</v>
      </c>
      <c r="D69" s="9"/>
    </row>
    <row r="70" spans="1:4" ht="12">
      <c r="A70" s="5" t="s">
        <v>18</v>
      </c>
      <c r="B70" s="286">
        <v>7.234</v>
      </c>
      <c r="C70" s="286">
        <v>7.33</v>
      </c>
      <c r="D70" s="9"/>
    </row>
    <row r="71" spans="1:4" ht="12">
      <c r="A71" s="5" t="s">
        <v>19</v>
      </c>
      <c r="B71" s="286">
        <v>0</v>
      </c>
      <c r="C71" s="286">
        <v>0</v>
      </c>
      <c r="D71" s="9"/>
    </row>
    <row r="72" spans="1:4" ht="12">
      <c r="A72" s="5" t="s">
        <v>20</v>
      </c>
      <c r="B72" s="286">
        <v>4.292</v>
      </c>
      <c r="C72" s="286">
        <v>4.357</v>
      </c>
      <c r="D72" s="9"/>
    </row>
    <row r="73" spans="1:4" ht="12">
      <c r="A73" s="5" t="s">
        <v>21</v>
      </c>
      <c r="B73" s="286">
        <v>2.94</v>
      </c>
      <c r="C73" s="286">
        <v>2.98</v>
      </c>
      <c r="D73" s="193"/>
    </row>
    <row r="74" spans="1:3" ht="12">
      <c r="A74" s="5" t="s">
        <v>22</v>
      </c>
      <c r="B74" s="286">
        <v>0</v>
      </c>
      <c r="C74" s="286">
        <v>0</v>
      </c>
    </row>
    <row r="75" spans="1:3" ht="12">
      <c r="A75" s="5" t="s">
        <v>23</v>
      </c>
      <c r="B75" s="286">
        <v>0</v>
      </c>
      <c r="C75" s="286">
        <v>0</v>
      </c>
    </row>
    <row r="76" spans="1:3" ht="12">
      <c r="A76" s="5"/>
      <c r="B76" s="33"/>
      <c r="C76" s="33"/>
    </row>
    <row r="77" spans="1:3" ht="12">
      <c r="A77" s="6" t="s">
        <v>127</v>
      </c>
      <c r="B77" s="33"/>
      <c r="C77" s="33"/>
    </row>
    <row r="78" spans="1:3" ht="12">
      <c r="A78" s="5" t="s">
        <v>128</v>
      </c>
      <c r="B78" s="282">
        <v>19.8</v>
      </c>
      <c r="C78" s="282">
        <v>0</v>
      </c>
    </row>
    <row r="79" spans="1:3" ht="12">
      <c r="A79" s="5" t="s">
        <v>18</v>
      </c>
      <c r="B79" s="282">
        <v>16.894</v>
      </c>
      <c r="C79" s="282">
        <v>18.52</v>
      </c>
    </row>
    <row r="80" spans="1:3" ht="12.75" thickBot="1">
      <c r="A80" s="5"/>
      <c r="B80" s="33"/>
      <c r="C80" s="33"/>
    </row>
    <row r="81" spans="1:3" ht="12.75" thickBot="1">
      <c r="A81" s="3" t="s">
        <v>78</v>
      </c>
      <c r="B81" s="47">
        <f>B51</f>
        <v>40330</v>
      </c>
      <c r="C81" s="47">
        <f>C51</f>
        <v>40360</v>
      </c>
    </row>
    <row r="82" spans="1:3" ht="12">
      <c r="A82" s="5"/>
      <c r="B82" s="66"/>
      <c r="C82" s="66"/>
    </row>
    <row r="83" spans="1:3" ht="12">
      <c r="A83" s="5" t="s">
        <v>25</v>
      </c>
      <c r="B83" s="64">
        <v>4.3</v>
      </c>
      <c r="C83" s="64">
        <v>4.6</v>
      </c>
    </row>
    <row r="84" spans="1:3" ht="12">
      <c r="A84" s="5" t="s">
        <v>26</v>
      </c>
      <c r="B84" s="284">
        <v>2.1</v>
      </c>
      <c r="C84" s="284">
        <v>3.3</v>
      </c>
    </row>
    <row r="85" spans="1:3" ht="12.75" thickBot="1">
      <c r="A85" s="11" t="s">
        <v>27</v>
      </c>
      <c r="B85" s="285">
        <v>0.1</v>
      </c>
      <c r="C85" s="285">
        <v>1.2</v>
      </c>
    </row>
    <row r="86" ht="12">
      <c r="A86" s="2" t="s">
        <v>105</v>
      </c>
    </row>
    <row r="87" ht="12">
      <c r="A87" s="2" t="s">
        <v>109</v>
      </c>
    </row>
    <row r="88" ht="12">
      <c r="A88" s="2" t="s">
        <v>168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67">
      <selection activeCell="O14" sqref="O14"/>
    </sheetView>
  </sheetViews>
  <sheetFormatPr defaultColWidth="9.140625" defaultRowHeight="12"/>
  <cols>
    <col min="1" max="1" width="3.421875" style="0" customWidth="1"/>
  </cols>
  <sheetData>
    <row r="2" spans="4:14" ht="15.75">
      <c r="D2" s="308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2:12" ht="20.25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6" ht="15.75">
      <c r="A4" s="14"/>
      <c r="B4" s="310" t="s">
        <v>162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14"/>
      <c r="N4" s="14"/>
      <c r="O4" s="14"/>
      <c r="P4" s="14"/>
    </row>
    <row r="5" spans="1:16" ht="18">
      <c r="A5" s="1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6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>
      <c r="A23" s="14"/>
      <c r="B23" s="310" t="s">
        <v>155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M25" s="14"/>
      <c r="N25" s="14"/>
      <c r="O25" s="14"/>
      <c r="P25" s="14"/>
    </row>
    <row r="26" spans="1:16" ht="15.75">
      <c r="A26" s="14"/>
      <c r="B26" s="86"/>
      <c r="C26" s="62"/>
      <c r="D26" s="5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3" t="s">
        <v>102</v>
      </c>
    </row>
    <row r="45" spans="2:12" ht="15.75">
      <c r="B45" s="307" t="s">
        <v>151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62" spans="2:12" ht="20.25"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2:12" ht="20.25"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2:12" ht="20.25"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7" ht="12.75">
      <c r="B67" s="263" t="s">
        <v>103</v>
      </c>
    </row>
    <row r="77" ht="11.25">
      <c r="B77" s="195"/>
    </row>
  </sheetData>
  <sheetProtection/>
  <mergeCells count="6">
    <mergeCell ref="A7:J7"/>
    <mergeCell ref="B45:L45"/>
    <mergeCell ref="D2:N2"/>
    <mergeCell ref="B4:L4"/>
    <mergeCell ref="B3:L3"/>
    <mergeCell ref="B23:L2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N22"/>
  <sheetViews>
    <sheetView showGridLines="0" zoomScale="90" zoomScaleNormal="90" zoomScaleSheetLayoutView="75" zoomScalePageLayoutView="0" workbookViewId="0" topLeftCell="A1">
      <pane xSplit="59" ySplit="4" topLeftCell="CI6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10" sqref="B10"/>
    </sheetView>
  </sheetViews>
  <sheetFormatPr defaultColWidth="12.7109375" defaultRowHeight="19.5" customHeight="1"/>
  <cols>
    <col min="1" max="1" width="12.7109375" style="31" customWidth="1"/>
    <col min="2" max="2" width="46.28125" style="31" customWidth="1"/>
    <col min="3" max="78" width="12.7109375" style="31" hidden="1" customWidth="1"/>
    <col min="79" max="90" width="12.7109375" style="31" customWidth="1"/>
    <col min="91" max="91" width="14.421875" style="31" customWidth="1"/>
    <col min="92" max="16384" width="12.7109375" style="31" customWidth="1"/>
  </cols>
  <sheetData>
    <row r="2" spans="1:48" ht="19.5" customHeight="1">
      <c r="A2" s="96"/>
      <c r="B2" s="97" t="s">
        <v>179</v>
      </c>
      <c r="C2" s="98"/>
      <c r="D2" s="98"/>
      <c r="E2" s="98"/>
      <c r="F2" s="99"/>
      <c r="G2" s="100"/>
      <c r="H2" s="99"/>
      <c r="I2" s="100"/>
      <c r="J2" s="100"/>
      <c r="K2" s="99"/>
      <c r="L2" s="99"/>
      <c r="M2" s="100"/>
      <c r="N2" s="100"/>
      <c r="O2" s="101"/>
      <c r="P2" s="100"/>
      <c r="Q2" s="99"/>
      <c r="R2" s="100"/>
      <c r="S2" s="100"/>
      <c r="T2" s="102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92" ht="19.5" customHeight="1" thickBot="1">
      <c r="A3" s="96"/>
      <c r="B3" s="287"/>
      <c r="C3" s="87"/>
      <c r="D3" s="87"/>
      <c r="E3" s="87"/>
      <c r="F3" s="88"/>
      <c r="G3" s="88"/>
      <c r="H3" s="88"/>
      <c r="I3" s="89"/>
      <c r="J3" s="89"/>
      <c r="K3" s="88"/>
      <c r="L3" s="88"/>
      <c r="M3" s="89"/>
      <c r="N3" s="89"/>
      <c r="O3" s="90"/>
      <c r="P3" s="89"/>
      <c r="Q3" s="88"/>
      <c r="R3" s="89"/>
      <c r="S3" s="89"/>
      <c r="T3" s="91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312">
        <v>2008</v>
      </c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4"/>
      <c r="BV3" s="312">
        <v>2009</v>
      </c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6"/>
      <c r="CH3" s="312">
        <v>2010</v>
      </c>
      <c r="CI3" s="317"/>
      <c r="CJ3" s="317"/>
      <c r="CK3" s="317"/>
      <c r="CL3" s="317"/>
      <c r="CM3" s="318"/>
      <c r="CN3" s="318"/>
    </row>
    <row r="4" spans="1:92" ht="19.5" customHeight="1" thickBot="1">
      <c r="A4" s="96"/>
      <c r="B4" s="201"/>
      <c r="C4" s="202">
        <v>37655</v>
      </c>
      <c r="D4" s="202">
        <v>37681</v>
      </c>
      <c r="E4" s="202">
        <v>37712</v>
      </c>
      <c r="F4" s="202">
        <v>37742</v>
      </c>
      <c r="G4" s="202">
        <v>37773</v>
      </c>
      <c r="H4" s="202">
        <v>37803</v>
      </c>
      <c r="I4" s="202">
        <v>37834</v>
      </c>
      <c r="J4" s="202">
        <v>37865</v>
      </c>
      <c r="K4" s="202">
        <v>37895</v>
      </c>
      <c r="L4" s="202">
        <v>37926</v>
      </c>
      <c r="M4" s="202">
        <v>37956</v>
      </c>
      <c r="N4" s="202">
        <v>37987</v>
      </c>
      <c r="O4" s="203">
        <v>38018</v>
      </c>
      <c r="P4" s="202">
        <v>38047</v>
      </c>
      <c r="Q4" s="202">
        <v>38078</v>
      </c>
      <c r="R4" s="202">
        <v>38108</v>
      </c>
      <c r="S4" s="202">
        <v>38139</v>
      </c>
      <c r="T4" s="202">
        <v>38169</v>
      </c>
      <c r="U4" s="202">
        <v>38200</v>
      </c>
      <c r="V4" s="202">
        <v>38231</v>
      </c>
      <c r="W4" s="202">
        <v>38261</v>
      </c>
      <c r="X4" s="202">
        <v>38292</v>
      </c>
      <c r="Y4" s="202">
        <v>38322</v>
      </c>
      <c r="Z4" s="202">
        <v>38353</v>
      </c>
      <c r="AA4" s="202">
        <v>38384</v>
      </c>
      <c r="AB4" s="202">
        <v>38412</v>
      </c>
      <c r="AC4" s="202">
        <v>38443</v>
      </c>
      <c r="AD4" s="202">
        <v>38473</v>
      </c>
      <c r="AE4" s="202">
        <v>38504</v>
      </c>
      <c r="AF4" s="202">
        <v>38534</v>
      </c>
      <c r="AG4" s="202">
        <v>38565</v>
      </c>
      <c r="AH4" s="202">
        <v>38596</v>
      </c>
      <c r="AI4" s="202">
        <v>38626</v>
      </c>
      <c r="AJ4" s="202">
        <v>38657</v>
      </c>
      <c r="AK4" s="202">
        <v>38687</v>
      </c>
      <c r="AL4" s="202">
        <v>38718</v>
      </c>
      <c r="AM4" s="202">
        <v>38749</v>
      </c>
      <c r="AN4" s="202">
        <v>38777</v>
      </c>
      <c r="AO4" s="202">
        <v>38808</v>
      </c>
      <c r="AP4" s="202">
        <v>38838</v>
      </c>
      <c r="AQ4" s="202">
        <v>38869</v>
      </c>
      <c r="AR4" s="202">
        <v>38929</v>
      </c>
      <c r="AS4" s="202">
        <v>38960</v>
      </c>
      <c r="AT4" s="202">
        <v>38990</v>
      </c>
      <c r="AU4" s="202">
        <v>39021</v>
      </c>
      <c r="AV4" s="202">
        <v>39051</v>
      </c>
      <c r="AW4" s="202">
        <v>39082</v>
      </c>
      <c r="AX4" s="204">
        <v>39113</v>
      </c>
      <c r="AY4" s="204">
        <v>39141</v>
      </c>
      <c r="AZ4" s="204">
        <v>39172</v>
      </c>
      <c r="BA4" s="204">
        <v>39202</v>
      </c>
      <c r="BB4" s="204">
        <v>39233</v>
      </c>
      <c r="BC4" s="204">
        <v>39263</v>
      </c>
      <c r="BD4" s="204">
        <v>39294</v>
      </c>
      <c r="BE4" s="204">
        <v>39325</v>
      </c>
      <c r="BF4" s="204">
        <v>39355</v>
      </c>
      <c r="BG4" s="204">
        <v>39386</v>
      </c>
      <c r="BH4" s="204">
        <v>39416</v>
      </c>
      <c r="BI4" s="204">
        <v>39447</v>
      </c>
      <c r="BJ4" s="204" t="s">
        <v>170</v>
      </c>
      <c r="BK4" s="204" t="s">
        <v>171</v>
      </c>
      <c r="BL4" s="204" t="s">
        <v>172</v>
      </c>
      <c r="BM4" s="204" t="s">
        <v>173</v>
      </c>
      <c r="BN4" s="204" t="s">
        <v>172</v>
      </c>
      <c r="BO4" s="204" t="s">
        <v>170</v>
      </c>
      <c r="BP4" s="204" t="s">
        <v>170</v>
      </c>
      <c r="BQ4" s="204" t="s">
        <v>173</v>
      </c>
      <c r="BR4" s="204" t="s">
        <v>174</v>
      </c>
      <c r="BS4" s="204" t="s">
        <v>175</v>
      </c>
      <c r="BT4" s="204" t="s">
        <v>176</v>
      </c>
      <c r="BU4" s="204" t="s">
        <v>177</v>
      </c>
      <c r="BV4" s="204" t="s">
        <v>170</v>
      </c>
      <c r="BW4" s="204" t="s">
        <v>171</v>
      </c>
      <c r="BX4" s="204" t="s">
        <v>172</v>
      </c>
      <c r="BY4" s="204" t="s">
        <v>173</v>
      </c>
      <c r="BZ4" s="204" t="s">
        <v>172</v>
      </c>
      <c r="CA4" s="204" t="s">
        <v>170</v>
      </c>
      <c r="CB4" s="204" t="s">
        <v>170</v>
      </c>
      <c r="CC4" s="204" t="s">
        <v>173</v>
      </c>
      <c r="CD4" s="204" t="s">
        <v>174</v>
      </c>
      <c r="CE4" s="204" t="s">
        <v>175</v>
      </c>
      <c r="CF4" s="204" t="s">
        <v>176</v>
      </c>
      <c r="CG4" s="204" t="s">
        <v>177</v>
      </c>
      <c r="CH4" s="204" t="s">
        <v>170</v>
      </c>
      <c r="CI4" s="204" t="s">
        <v>171</v>
      </c>
      <c r="CJ4" s="204" t="s">
        <v>172</v>
      </c>
      <c r="CK4" s="204" t="s">
        <v>173</v>
      </c>
      <c r="CL4" s="204" t="s">
        <v>172</v>
      </c>
      <c r="CM4" s="204" t="s">
        <v>170</v>
      </c>
      <c r="CN4" s="204" t="s">
        <v>170</v>
      </c>
    </row>
    <row r="5" spans="1:92" ht="19.5" customHeight="1">
      <c r="A5" s="123"/>
      <c r="B5" s="205" t="s">
        <v>80</v>
      </c>
      <c r="C5" s="206"/>
      <c r="D5" s="206"/>
      <c r="E5" s="207"/>
      <c r="F5" s="208"/>
      <c r="G5" s="208"/>
      <c r="H5" s="208"/>
      <c r="I5" s="208"/>
      <c r="J5" s="208"/>
      <c r="K5" s="208"/>
      <c r="L5" s="208"/>
      <c r="M5" s="209"/>
      <c r="N5" s="208"/>
      <c r="O5" s="210"/>
      <c r="P5" s="211"/>
      <c r="Q5" s="208"/>
      <c r="R5" s="211"/>
      <c r="S5" s="21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</row>
    <row r="6" spans="1:92" ht="19.5" customHeight="1">
      <c r="A6" s="96"/>
      <c r="B6" s="205"/>
      <c r="C6" s="206"/>
      <c r="D6" s="206"/>
      <c r="E6" s="207"/>
      <c r="F6" s="208"/>
      <c r="G6" s="208"/>
      <c r="H6" s="208"/>
      <c r="I6" s="208"/>
      <c r="J6" s="208"/>
      <c r="K6" s="208"/>
      <c r="L6" s="208"/>
      <c r="M6" s="209"/>
      <c r="N6" s="208"/>
      <c r="O6" s="210"/>
      <c r="P6" s="211"/>
      <c r="Q6" s="208"/>
      <c r="R6" s="211"/>
      <c r="S6" s="211"/>
      <c r="T6" s="212"/>
      <c r="U6" s="211"/>
      <c r="V6" s="211"/>
      <c r="W6" s="211"/>
      <c r="X6" s="211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</row>
    <row r="7" spans="2:92" ht="19.5" customHeight="1">
      <c r="B7" s="205" t="s">
        <v>180</v>
      </c>
      <c r="C7" s="213">
        <v>2595.44027685</v>
      </c>
      <c r="D7" s="213">
        <v>2187.8368766900003</v>
      </c>
      <c r="E7" s="213">
        <v>2272.4872471500003</v>
      </c>
      <c r="F7" s="214">
        <v>2113.36340838</v>
      </c>
      <c r="G7" s="214">
        <v>2165.8</v>
      </c>
      <c r="H7" s="215">
        <v>2129.6</v>
      </c>
      <c r="I7" s="208">
        <v>1891</v>
      </c>
      <c r="J7" s="214">
        <v>2181.2</v>
      </c>
      <c r="K7" s="214">
        <v>2467.9</v>
      </c>
      <c r="L7" s="214">
        <v>2091</v>
      </c>
      <c r="M7" s="216">
        <v>2110.3</v>
      </c>
      <c r="N7" s="214">
        <v>2710.8702829799995</v>
      </c>
      <c r="O7" s="217">
        <v>1935.4129830699999</v>
      </c>
      <c r="P7" s="218">
        <v>1824.1042653499997</v>
      </c>
      <c r="Q7" s="208">
        <v>2395.6</v>
      </c>
      <c r="R7" s="208">
        <v>1860.4</v>
      </c>
      <c r="S7" s="208">
        <v>1783.2</v>
      </c>
      <c r="T7" s="208">
        <v>1984.6</v>
      </c>
      <c r="U7" s="208">
        <v>1989.9</v>
      </c>
      <c r="V7" s="208">
        <v>1808.2</v>
      </c>
      <c r="W7" s="208">
        <v>2207.6</v>
      </c>
      <c r="X7" s="208">
        <v>1987.9</v>
      </c>
      <c r="Y7" s="208">
        <v>1977.3</v>
      </c>
      <c r="Z7" s="208">
        <v>2327.5</v>
      </c>
      <c r="AA7" s="208">
        <v>2029.5</v>
      </c>
      <c r="AB7" s="208">
        <v>1912.6</v>
      </c>
      <c r="AC7" s="208">
        <v>2303.8</v>
      </c>
      <c r="AD7" s="208">
        <v>2107.1</v>
      </c>
      <c r="AE7" s="208">
        <v>1874.1</v>
      </c>
      <c r="AF7" s="208">
        <v>2354.7</v>
      </c>
      <c r="AG7" s="208">
        <v>2159.1</v>
      </c>
      <c r="AH7" s="208">
        <v>1818.2</v>
      </c>
      <c r="AI7" s="214">
        <v>2245</v>
      </c>
      <c r="AJ7" s="214">
        <v>1902.22246</v>
      </c>
      <c r="AK7" s="214">
        <v>1983.9</v>
      </c>
      <c r="AL7" s="214">
        <v>2705.5</v>
      </c>
      <c r="AM7" s="214">
        <v>2696</v>
      </c>
      <c r="AN7" s="214">
        <v>2458.1</v>
      </c>
      <c r="AO7" s="214">
        <v>3129.7</v>
      </c>
      <c r="AP7" s="214">
        <v>2973</v>
      </c>
      <c r="AQ7" s="214">
        <v>2677.9</v>
      </c>
      <c r="AR7" s="214">
        <v>3313.1</v>
      </c>
      <c r="AS7" s="214">
        <v>2760.7</v>
      </c>
      <c r="AT7" s="214">
        <v>3119.2</v>
      </c>
      <c r="AU7" s="214">
        <v>4104.4</v>
      </c>
      <c r="AV7" s="214">
        <v>3495.2</v>
      </c>
      <c r="AW7" s="214">
        <v>3164.3</v>
      </c>
      <c r="AX7" s="214">
        <v>4865.6</v>
      </c>
      <c r="AY7" s="214">
        <v>4466.4</v>
      </c>
      <c r="AZ7" s="214">
        <v>5690</v>
      </c>
      <c r="BA7" s="214">
        <v>6260.1</v>
      </c>
      <c r="BB7" s="219">
        <v>5643.8</v>
      </c>
      <c r="BC7" s="220">
        <v>6085.3</v>
      </c>
      <c r="BD7" s="220">
        <v>7455.9</v>
      </c>
      <c r="BE7" s="220">
        <v>6359</v>
      </c>
      <c r="BF7" s="220">
        <v>5868.650081049999</v>
      </c>
      <c r="BG7" s="220">
        <v>6499.853570999999</v>
      </c>
      <c r="BH7" s="220">
        <v>6257.02633294</v>
      </c>
      <c r="BI7" s="220">
        <v>6743.949222620002</v>
      </c>
      <c r="BJ7" s="220">
        <v>8497.90853458</v>
      </c>
      <c r="BK7" s="220">
        <v>8656.654479950002</v>
      </c>
      <c r="BL7" s="220">
        <v>8900.78</v>
      </c>
      <c r="BM7" s="220">
        <v>9949.63092274</v>
      </c>
      <c r="BN7" s="220">
        <v>9441.90025126</v>
      </c>
      <c r="BO7" s="220">
        <v>9697.814715469998</v>
      </c>
      <c r="BP7" s="220">
        <v>11758.2039831</v>
      </c>
      <c r="BQ7" s="220">
        <v>10730.849802119998</v>
      </c>
      <c r="BR7" s="220">
        <v>10942.098551590001</v>
      </c>
      <c r="BS7" s="220">
        <v>13805.317071959998</v>
      </c>
      <c r="BT7" s="220">
        <v>12725.77199603</v>
      </c>
      <c r="BU7" s="221">
        <v>12857.52677013</v>
      </c>
      <c r="BV7" s="221">
        <v>14524</v>
      </c>
      <c r="BW7" s="221">
        <v>13779</v>
      </c>
      <c r="BX7" s="221">
        <v>14136.3</v>
      </c>
      <c r="BY7" s="221">
        <v>14561.206</v>
      </c>
      <c r="BZ7" s="221">
        <v>14205.63</v>
      </c>
      <c r="CA7" s="221">
        <v>13206.787</v>
      </c>
      <c r="CB7" s="221">
        <v>13706.835257</v>
      </c>
      <c r="CC7" s="221">
        <v>13840</v>
      </c>
      <c r="CD7" s="221">
        <v>14719.96</v>
      </c>
      <c r="CE7" s="221">
        <v>15827.33</v>
      </c>
      <c r="CF7" s="221">
        <v>14317.35</v>
      </c>
      <c r="CG7" s="221">
        <v>13828.2</v>
      </c>
      <c r="CH7" s="221">
        <v>14584.6</v>
      </c>
      <c r="CI7" s="221">
        <v>14462.02</v>
      </c>
      <c r="CJ7" s="221">
        <v>12874.95</v>
      </c>
      <c r="CK7" s="221">
        <v>13495.17</v>
      </c>
      <c r="CL7" s="221">
        <v>12702.6</v>
      </c>
      <c r="CM7" s="221">
        <v>12313.47345056</v>
      </c>
      <c r="CN7" s="221">
        <v>12255.07</v>
      </c>
    </row>
    <row r="8" spans="2:92" ht="19.5" customHeight="1">
      <c r="B8" s="205" t="s">
        <v>28</v>
      </c>
      <c r="C8" s="222"/>
      <c r="D8" s="222">
        <f>D7-C7</f>
        <v>-407.60340015999964</v>
      </c>
      <c r="E8" s="222">
        <f>E7-D7</f>
        <v>84.65037045999998</v>
      </c>
      <c r="F8" s="222">
        <f>F7-E7</f>
        <v>-159.12383877000048</v>
      </c>
      <c r="G8" s="222">
        <f aca="true" t="shared" si="0" ref="G8:AG8">G7-F7</f>
        <v>52.4365916200004</v>
      </c>
      <c r="H8" s="222">
        <f t="shared" si="0"/>
        <v>-36.20000000000027</v>
      </c>
      <c r="I8" s="222">
        <f t="shared" si="0"/>
        <v>-238.5999999999999</v>
      </c>
      <c r="J8" s="222">
        <f t="shared" si="0"/>
        <v>290.1999999999998</v>
      </c>
      <c r="K8" s="222">
        <f t="shared" si="0"/>
        <v>286.7000000000003</v>
      </c>
      <c r="L8" s="222">
        <f t="shared" si="0"/>
        <v>-376.9000000000001</v>
      </c>
      <c r="M8" s="222">
        <f t="shared" si="0"/>
        <v>19.300000000000182</v>
      </c>
      <c r="N8" s="222">
        <f t="shared" si="0"/>
        <v>600.5702829799993</v>
      </c>
      <c r="O8" s="223">
        <f t="shared" si="0"/>
        <v>-775.4572999099996</v>
      </c>
      <c r="P8" s="215">
        <f t="shared" si="0"/>
        <v>-111.30871772000023</v>
      </c>
      <c r="Q8" s="215">
        <f t="shared" si="0"/>
        <v>571.4957346500003</v>
      </c>
      <c r="R8" s="215">
        <f t="shared" si="0"/>
        <v>-535.1999999999998</v>
      </c>
      <c r="S8" s="215">
        <f t="shared" si="0"/>
        <v>-77.20000000000005</v>
      </c>
      <c r="T8" s="215">
        <f t="shared" si="0"/>
        <v>201.39999999999986</v>
      </c>
      <c r="U8" s="215">
        <f t="shared" si="0"/>
        <v>5.300000000000182</v>
      </c>
      <c r="V8" s="215">
        <f t="shared" si="0"/>
        <v>-181.70000000000005</v>
      </c>
      <c r="W8" s="215">
        <f t="shared" si="0"/>
        <v>399.39999999999986</v>
      </c>
      <c r="X8" s="215">
        <f t="shared" si="0"/>
        <v>-219.69999999999982</v>
      </c>
      <c r="Y8" s="215">
        <f t="shared" si="0"/>
        <v>-10.600000000000136</v>
      </c>
      <c r="Z8" s="215">
        <f t="shared" si="0"/>
        <v>350.20000000000005</v>
      </c>
      <c r="AA8" s="215">
        <f t="shared" si="0"/>
        <v>-298</v>
      </c>
      <c r="AB8" s="215">
        <f t="shared" si="0"/>
        <v>-116.90000000000009</v>
      </c>
      <c r="AC8" s="215">
        <f t="shared" si="0"/>
        <v>391.2000000000003</v>
      </c>
      <c r="AD8" s="215">
        <f t="shared" si="0"/>
        <v>-196.70000000000027</v>
      </c>
      <c r="AE8" s="215">
        <f t="shared" si="0"/>
        <v>-233</v>
      </c>
      <c r="AF8" s="215">
        <f t="shared" si="0"/>
        <v>480.5999999999999</v>
      </c>
      <c r="AG8" s="215">
        <f t="shared" si="0"/>
        <v>-195.5999999999999</v>
      </c>
      <c r="AH8" s="215">
        <f aca="true" t="shared" si="1" ref="AH8:BO8">AH7-AG7</f>
        <v>-340.89999999999986</v>
      </c>
      <c r="AI8" s="215">
        <f t="shared" si="1"/>
        <v>426.79999999999995</v>
      </c>
      <c r="AJ8" s="215">
        <f t="shared" si="1"/>
        <v>-342.77754000000004</v>
      </c>
      <c r="AK8" s="215">
        <f t="shared" si="1"/>
        <v>81.67754000000014</v>
      </c>
      <c r="AL8" s="215">
        <f t="shared" si="1"/>
        <v>721.5999999999999</v>
      </c>
      <c r="AM8" s="215">
        <f t="shared" si="1"/>
        <v>-9.5</v>
      </c>
      <c r="AN8" s="215">
        <f t="shared" si="1"/>
        <v>-237.9000000000001</v>
      </c>
      <c r="AO8" s="215">
        <f t="shared" si="1"/>
        <v>671.5999999999999</v>
      </c>
      <c r="AP8" s="215">
        <f t="shared" si="1"/>
        <v>-156.69999999999982</v>
      </c>
      <c r="AQ8" s="215">
        <f t="shared" si="1"/>
        <v>-295.0999999999999</v>
      </c>
      <c r="AR8" s="215">
        <f t="shared" si="1"/>
        <v>635.1999999999998</v>
      </c>
      <c r="AS8" s="215">
        <f t="shared" si="1"/>
        <v>-552.4000000000001</v>
      </c>
      <c r="AT8" s="215">
        <f t="shared" si="1"/>
        <v>358.5</v>
      </c>
      <c r="AU8" s="215">
        <f t="shared" si="1"/>
        <v>985.1999999999998</v>
      </c>
      <c r="AV8" s="215">
        <f t="shared" si="1"/>
        <v>-609.1999999999998</v>
      </c>
      <c r="AW8" s="215">
        <f t="shared" si="1"/>
        <v>-330.89999999999964</v>
      </c>
      <c r="AX8" s="215">
        <f t="shared" si="1"/>
        <v>1701.3000000000002</v>
      </c>
      <c r="AY8" s="215">
        <f t="shared" si="1"/>
        <v>-399.2000000000007</v>
      </c>
      <c r="AZ8" s="215">
        <f t="shared" si="1"/>
        <v>1223.6000000000004</v>
      </c>
      <c r="BA8" s="215">
        <f t="shared" si="1"/>
        <v>570.1000000000004</v>
      </c>
      <c r="BB8" s="224">
        <f t="shared" si="1"/>
        <v>-616.3000000000002</v>
      </c>
      <c r="BC8" s="225">
        <f t="shared" si="1"/>
        <v>441.5</v>
      </c>
      <c r="BD8" s="225">
        <f t="shared" si="1"/>
        <v>1370.5999999999995</v>
      </c>
      <c r="BE8" s="225">
        <f t="shared" si="1"/>
        <v>-1096.8999999999996</v>
      </c>
      <c r="BF8" s="225">
        <f t="shared" si="1"/>
        <v>-490.34991895000076</v>
      </c>
      <c r="BG8" s="225">
        <f t="shared" si="1"/>
        <v>631.2034899499995</v>
      </c>
      <c r="BH8" s="225">
        <f t="shared" si="1"/>
        <v>-242.8272380599983</v>
      </c>
      <c r="BI8" s="225">
        <f t="shared" si="1"/>
        <v>486.9228896800014</v>
      </c>
      <c r="BJ8" s="225">
        <f t="shared" si="1"/>
        <v>1753.9593119599976</v>
      </c>
      <c r="BK8" s="225">
        <f t="shared" si="1"/>
        <v>158.74594537000303</v>
      </c>
      <c r="BL8" s="225">
        <f t="shared" si="1"/>
        <v>244.12552004999816</v>
      </c>
      <c r="BM8" s="225">
        <f t="shared" si="1"/>
        <v>1048.850922739999</v>
      </c>
      <c r="BN8" s="225">
        <f t="shared" si="1"/>
        <v>-507.7306714799997</v>
      </c>
      <c r="BO8" s="225">
        <f t="shared" si="1"/>
        <v>255.9144642099982</v>
      </c>
      <c r="BP8" s="225">
        <f aca="true" t="shared" si="2" ref="BP8:BZ8">BP7-BO7</f>
        <v>2060.389267630002</v>
      </c>
      <c r="BQ8" s="225">
        <f t="shared" si="2"/>
        <v>-1027.3541809800026</v>
      </c>
      <c r="BR8" s="225">
        <f t="shared" si="2"/>
        <v>211.24874947000353</v>
      </c>
      <c r="BS8" s="225">
        <f t="shared" si="2"/>
        <v>2863.2185203699973</v>
      </c>
      <c r="BT8" s="225">
        <f t="shared" si="2"/>
        <v>-1079.5450759299983</v>
      </c>
      <c r="BU8" s="221">
        <f t="shared" si="2"/>
        <v>131.75477409999985</v>
      </c>
      <c r="BV8" s="221">
        <f t="shared" si="2"/>
        <v>1666.47322987</v>
      </c>
      <c r="BW8" s="226">
        <f t="shared" si="2"/>
        <v>-745</v>
      </c>
      <c r="BX8" s="227">
        <f t="shared" si="2"/>
        <v>357.2999999999993</v>
      </c>
      <c r="BY8" s="227">
        <f t="shared" si="2"/>
        <v>424.90600000000086</v>
      </c>
      <c r="BZ8" s="228">
        <f t="shared" si="2"/>
        <v>-355.57600000000093</v>
      </c>
      <c r="CA8" s="228">
        <v>-998.84</v>
      </c>
      <c r="CB8" s="228">
        <f aca="true" t="shared" si="3" ref="CB8:CN8">CB7-CA7</f>
        <v>500.0482570000004</v>
      </c>
      <c r="CC8" s="228">
        <f t="shared" si="3"/>
        <v>133.16474299999936</v>
      </c>
      <c r="CD8" s="228">
        <f t="shared" si="3"/>
        <v>879.9599999999991</v>
      </c>
      <c r="CE8" s="228">
        <f t="shared" si="3"/>
        <v>1107.3700000000008</v>
      </c>
      <c r="CF8" s="228">
        <f t="shared" si="3"/>
        <v>-1509.9799999999996</v>
      </c>
      <c r="CG8" s="228">
        <f t="shared" si="3"/>
        <v>-489.14999999999964</v>
      </c>
      <c r="CH8" s="228">
        <f t="shared" si="3"/>
        <v>756.3999999999996</v>
      </c>
      <c r="CI8" s="228">
        <f t="shared" si="3"/>
        <v>-122.57999999999993</v>
      </c>
      <c r="CJ8" s="228">
        <f t="shared" si="3"/>
        <v>-1587.0699999999997</v>
      </c>
      <c r="CK8" s="228">
        <f t="shared" si="3"/>
        <v>620.2199999999993</v>
      </c>
      <c r="CL8" s="228">
        <f t="shared" si="3"/>
        <v>-792.5699999999997</v>
      </c>
      <c r="CM8" s="228">
        <f t="shared" si="3"/>
        <v>-389.1265494399995</v>
      </c>
      <c r="CN8" s="228">
        <f t="shared" si="3"/>
        <v>-58.40345056000115</v>
      </c>
    </row>
    <row r="9" spans="2:92" ht="19.5" customHeight="1">
      <c r="B9" s="205"/>
      <c r="C9" s="206"/>
      <c r="D9" s="206"/>
      <c r="E9" s="206"/>
      <c r="F9" s="208"/>
      <c r="G9" s="208"/>
      <c r="H9" s="208"/>
      <c r="I9" s="208"/>
      <c r="J9" s="208"/>
      <c r="K9" s="208"/>
      <c r="L9" s="208"/>
      <c r="M9" s="209"/>
      <c r="N9" s="208"/>
      <c r="O9" s="210"/>
      <c r="P9" s="211"/>
      <c r="Q9" s="208"/>
      <c r="R9" s="211"/>
      <c r="S9" s="211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30"/>
      <c r="BV9" s="230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</row>
    <row r="10" spans="2:92" ht="19.5" customHeight="1">
      <c r="B10" s="205" t="s">
        <v>40</v>
      </c>
      <c r="C10" s="206"/>
      <c r="D10" s="206"/>
      <c r="E10" s="206"/>
      <c r="F10" s="208"/>
      <c r="G10" s="208"/>
      <c r="H10" s="208"/>
      <c r="I10" s="208"/>
      <c r="J10" s="208"/>
      <c r="K10" s="208"/>
      <c r="L10" s="208"/>
      <c r="M10" s="209"/>
      <c r="N10" s="208"/>
      <c r="O10" s="210"/>
      <c r="P10" s="211"/>
      <c r="Q10" s="208"/>
      <c r="R10" s="211"/>
      <c r="S10" s="211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30"/>
      <c r="BV10" s="230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</row>
    <row r="11" spans="2:92" ht="19.5" customHeight="1">
      <c r="B11" s="205"/>
      <c r="C11" s="206"/>
      <c r="D11" s="206"/>
      <c r="E11" s="206"/>
      <c r="F11" s="208"/>
      <c r="G11" s="208"/>
      <c r="H11" s="208"/>
      <c r="I11" s="208"/>
      <c r="J11" s="208"/>
      <c r="K11" s="208"/>
      <c r="L11" s="208"/>
      <c r="M11" s="209"/>
      <c r="N11" s="208"/>
      <c r="O11" s="210"/>
      <c r="P11" s="211"/>
      <c r="Q11" s="208"/>
      <c r="R11" s="211"/>
      <c r="S11" s="211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30"/>
      <c r="BV11" s="230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</row>
    <row r="12" spans="2:92" ht="19.5" customHeight="1">
      <c r="B12" s="205" t="s">
        <v>29</v>
      </c>
      <c r="C12" s="206"/>
      <c r="D12" s="206">
        <v>8.0439</v>
      </c>
      <c r="E12" s="206">
        <v>7.7068</v>
      </c>
      <c r="F12" s="231">
        <v>7.6652</v>
      </c>
      <c r="G12" s="231">
        <v>7.9027</v>
      </c>
      <c r="H12" s="231">
        <v>7.5401</v>
      </c>
      <c r="I12" s="208">
        <v>7.3922</v>
      </c>
      <c r="J12" s="208">
        <v>7.3246</v>
      </c>
      <c r="K12" s="208">
        <v>6.9637</v>
      </c>
      <c r="L12" s="208">
        <v>6.7287</v>
      </c>
      <c r="M12" s="209">
        <v>6.5159</v>
      </c>
      <c r="N12" s="208">
        <v>6.9179</v>
      </c>
      <c r="O12" s="209">
        <v>6.7686</v>
      </c>
      <c r="P12" s="208">
        <v>6.6633</v>
      </c>
      <c r="Q12" s="208">
        <v>6.5537</v>
      </c>
      <c r="R12" s="208">
        <v>6.7821</v>
      </c>
      <c r="S12" s="208">
        <v>6.4381</v>
      </c>
      <c r="T12" s="232">
        <v>6.1287</v>
      </c>
      <c r="U12" s="208">
        <v>6.4575</v>
      </c>
      <c r="V12" s="208">
        <v>6.5469</v>
      </c>
      <c r="W12" s="208">
        <v>6.3876</v>
      </c>
      <c r="X12" s="208">
        <v>6.0558</v>
      </c>
      <c r="Y12" s="208">
        <v>5.7323</v>
      </c>
      <c r="Z12" s="208">
        <v>5.9698</v>
      </c>
      <c r="AA12" s="208">
        <v>6.0161</v>
      </c>
      <c r="AB12" s="208">
        <v>6.323</v>
      </c>
      <c r="AC12" s="208">
        <v>6.1521</v>
      </c>
      <c r="AD12" s="208">
        <v>6.3314</v>
      </c>
      <c r="AE12" s="232">
        <v>6.75</v>
      </c>
      <c r="AF12" s="232">
        <v>6.7035</v>
      </c>
      <c r="AG12" s="232">
        <v>6.465</v>
      </c>
      <c r="AH12" s="232">
        <v>6.3578</v>
      </c>
      <c r="AI12" s="232">
        <v>6.5766</v>
      </c>
      <c r="AJ12" s="232">
        <v>6.521</v>
      </c>
      <c r="AK12" s="232">
        <v>6.3591</v>
      </c>
      <c r="AL12" s="232">
        <v>6.0891</v>
      </c>
      <c r="AM12" s="232">
        <v>6.1177</v>
      </c>
      <c r="AN12" s="232">
        <v>6.2544</v>
      </c>
      <c r="AO12" s="232">
        <v>6.072</v>
      </c>
      <c r="AP12" s="232">
        <v>6.3199</v>
      </c>
      <c r="AQ12" s="232">
        <v>6.9549</v>
      </c>
      <c r="AR12" s="232">
        <v>7.0843</v>
      </c>
      <c r="AS12" s="232">
        <v>6.9553</v>
      </c>
      <c r="AT12" s="232">
        <v>7.4098</v>
      </c>
      <c r="AU12" s="232">
        <v>7.6492</v>
      </c>
      <c r="AV12" s="232">
        <v>7.2586</v>
      </c>
      <c r="AW12" s="232">
        <v>7.0406</v>
      </c>
      <c r="AX12" s="232">
        <v>7.1838</v>
      </c>
      <c r="AY12" s="232">
        <v>7.1698</v>
      </c>
      <c r="AZ12" s="232">
        <v>7.3514</v>
      </c>
      <c r="BA12" s="232">
        <v>7.1216</v>
      </c>
      <c r="BB12" s="233">
        <v>7.0187</v>
      </c>
      <c r="BC12" s="233">
        <v>7.1718</v>
      </c>
      <c r="BD12" s="233">
        <v>6.973</v>
      </c>
      <c r="BE12" s="233">
        <v>7.2334</v>
      </c>
      <c r="BF12" s="233">
        <v>7.1282</v>
      </c>
      <c r="BG12" s="233">
        <v>6.7729</v>
      </c>
      <c r="BH12" s="233">
        <v>6.701</v>
      </c>
      <c r="BI12" s="233">
        <v>6.8271</v>
      </c>
      <c r="BJ12" s="233">
        <v>6.9874</v>
      </c>
      <c r="BK12" s="233">
        <v>7.6386</v>
      </c>
      <c r="BL12" s="233">
        <v>7.9799</v>
      </c>
      <c r="BM12" s="233">
        <v>7.7933</v>
      </c>
      <c r="BN12" s="233">
        <v>7.6238</v>
      </c>
      <c r="BO12" s="233">
        <v>7.9188</v>
      </c>
      <c r="BP12" s="233">
        <v>7.6393</v>
      </c>
      <c r="BQ12" s="233">
        <v>7.6578</v>
      </c>
      <c r="BR12" s="233">
        <v>8.0472</v>
      </c>
      <c r="BS12" s="233">
        <v>9.6715</v>
      </c>
      <c r="BT12" s="233">
        <v>10.1177</v>
      </c>
      <c r="BU12" s="234">
        <v>9.9456</v>
      </c>
      <c r="BV12" s="234">
        <v>9.897</v>
      </c>
      <c r="BW12" s="235">
        <v>10.0062</v>
      </c>
      <c r="BX12" s="235">
        <v>9.9932</v>
      </c>
      <c r="BY12" s="235">
        <v>9.018</v>
      </c>
      <c r="BZ12" s="235">
        <v>8.3723</v>
      </c>
      <c r="CA12" s="235">
        <v>8.0518</v>
      </c>
      <c r="CB12" s="235">
        <v>7.9513</v>
      </c>
      <c r="CC12" s="235">
        <v>7.9415</v>
      </c>
      <c r="CD12" s="235">
        <v>7.5235</v>
      </c>
      <c r="CE12" s="235">
        <v>8.5235</v>
      </c>
      <c r="CF12" s="235">
        <v>7.506138</v>
      </c>
      <c r="CG12" s="235">
        <v>7.4894</v>
      </c>
      <c r="CH12" s="235">
        <v>7.4527</v>
      </c>
      <c r="CI12" s="235">
        <v>7.7585</v>
      </c>
      <c r="CJ12" s="235">
        <v>7.4258</v>
      </c>
      <c r="CK12" s="235">
        <v>7.3434</v>
      </c>
      <c r="CL12" s="235">
        <v>7.6332</v>
      </c>
      <c r="CM12" s="235">
        <v>7.6473</v>
      </c>
      <c r="CN12" s="235">
        <v>7.5468</v>
      </c>
    </row>
    <row r="13" spans="2:92" ht="19.5" customHeight="1">
      <c r="B13" s="205" t="s">
        <v>30</v>
      </c>
      <c r="C13" s="236"/>
      <c r="D13" s="236">
        <f>1/8.0439</f>
        <v>0.124317806039359</v>
      </c>
      <c r="E13" s="236">
        <f>1/7.7068</f>
        <v>0.12975554056158198</v>
      </c>
      <c r="F13" s="237">
        <f>1/7.6652</f>
        <v>0.13045974012419767</v>
      </c>
      <c r="G13" s="237">
        <f>1/7.9027</f>
        <v>0.12653903096410088</v>
      </c>
      <c r="H13" s="237">
        <f>1/7.5401</f>
        <v>0.1326242357528415</v>
      </c>
      <c r="I13" s="237">
        <f>1/7.3922</f>
        <v>0.13527772516977354</v>
      </c>
      <c r="J13" s="237">
        <f>1/7.3246</f>
        <v>0.1365262266881468</v>
      </c>
      <c r="K13" s="237">
        <f>1/6.9637</f>
        <v>0.14360182087108864</v>
      </c>
      <c r="L13" s="237">
        <f>1/6.7287</f>
        <v>0.14861711771961894</v>
      </c>
      <c r="M13" s="237">
        <f>1/6.5159</f>
        <v>0.15347074080326586</v>
      </c>
      <c r="N13" s="237">
        <f>1/6.9179</f>
        <v>0.14455253761979792</v>
      </c>
      <c r="O13" s="238">
        <f>1/6.7686</f>
        <v>0.14774103950595396</v>
      </c>
      <c r="P13" s="237">
        <f>1/6.6633</f>
        <v>0.1500757882730779</v>
      </c>
      <c r="Q13" s="237">
        <f>1/6.5537</f>
        <v>0.15258556235409004</v>
      </c>
      <c r="R13" s="237">
        <f>1/6.7821</f>
        <v>0.14744695595759427</v>
      </c>
      <c r="S13" s="237">
        <f>1/6.4381</f>
        <v>0.15532532890138395</v>
      </c>
      <c r="T13" s="237">
        <f>1/6.1287</f>
        <v>0.1631667400916997</v>
      </c>
      <c r="U13" s="237">
        <f>1/6.4575</f>
        <v>0.1548586914440573</v>
      </c>
      <c r="V13" s="237">
        <f>1/6.5469</f>
        <v>0.15274404680077594</v>
      </c>
      <c r="W13" s="237">
        <f>1/6.3876</f>
        <v>0.15655332206149414</v>
      </c>
      <c r="X13" s="237">
        <f>1/6.0558</f>
        <v>0.16513094884243207</v>
      </c>
      <c r="Y13" s="237">
        <f>1/5.7323</f>
        <v>0.17445004622926225</v>
      </c>
      <c r="Z13" s="237">
        <f>1/5.9698</f>
        <v>0.1675097993232604</v>
      </c>
      <c r="AA13" s="237">
        <f>1/6.0161</f>
        <v>0.16622064127923405</v>
      </c>
      <c r="AB13" s="237">
        <f>1/6.0101</f>
        <v>0.16638658258598024</v>
      </c>
      <c r="AC13" s="237">
        <f>1/6.1521</f>
        <v>0.16254612246224867</v>
      </c>
      <c r="AD13" s="237">
        <f>1/6.3314</f>
        <v>0.1579429510060966</v>
      </c>
      <c r="AE13" s="237">
        <f>1/6.75</f>
        <v>0.14814814814814814</v>
      </c>
      <c r="AF13" s="237">
        <f>1/6.7035</f>
        <v>0.14917580368464234</v>
      </c>
      <c r="AG13" s="237">
        <f>1/6.465</f>
        <v>0.15467904098994587</v>
      </c>
      <c r="AH13" s="237">
        <f>1/6.3578</f>
        <v>0.1572871118940514</v>
      </c>
      <c r="AI13" s="237">
        <f>1/6.5766</f>
        <v>0.15205425295745523</v>
      </c>
      <c r="AJ13" s="237">
        <f>1/6.521</f>
        <v>0.15335071308081583</v>
      </c>
      <c r="AK13" s="237">
        <f>1/6.3591</f>
        <v>0.157254957462534</v>
      </c>
      <c r="AL13" s="237">
        <f>1/6.0891</f>
        <v>0.1642278826099095</v>
      </c>
      <c r="AM13" s="237">
        <f>1/6.1177</f>
        <v>0.16346012390277392</v>
      </c>
      <c r="AN13" s="237">
        <f>1/6.2544</f>
        <v>0.15988743924277307</v>
      </c>
      <c r="AO13" s="237">
        <f>1/6.072</f>
        <v>0.16469038208168643</v>
      </c>
      <c r="AP13" s="237">
        <f>1/6.3199</f>
        <v>0.15823035174607195</v>
      </c>
      <c r="AQ13" s="237">
        <f>1/6.9549</f>
        <v>0.14378351953299112</v>
      </c>
      <c r="AR13" s="237">
        <f>1/7.0843</f>
        <v>0.14115720678119223</v>
      </c>
      <c r="AS13" s="237">
        <f>1/6.9553</f>
        <v>0.14377525052837403</v>
      </c>
      <c r="AT13" s="237">
        <f>1/7.4098</f>
        <v>0.1349564090798672</v>
      </c>
      <c r="AU13" s="237">
        <f>1/7.6492</f>
        <v>0.13073262563405322</v>
      </c>
      <c r="AV13" s="237">
        <f>1/7.2586</f>
        <v>0.1377676135893974</v>
      </c>
      <c r="AW13" s="237">
        <f>1/7.0406</f>
        <v>0.14203334943044627</v>
      </c>
      <c r="AX13" s="237">
        <f>1/7.1838</f>
        <v>0.13920209359948774</v>
      </c>
      <c r="AY13" s="237">
        <f>1/7.1698</f>
        <v>0.13947390443248067</v>
      </c>
      <c r="AZ13" s="237">
        <f>1/7.3514</f>
        <v>0.13602851157602633</v>
      </c>
      <c r="BA13" s="237">
        <f>1/7.1216</f>
        <v>0.14041788362165805</v>
      </c>
      <c r="BB13" s="239">
        <f>1/7.0187</f>
        <v>0.14247652699217803</v>
      </c>
      <c r="BC13" s="239">
        <f>1/7.1718</f>
        <v>0.13943500934214562</v>
      </c>
      <c r="BD13" s="239">
        <f>1/6.973</f>
        <v>0.1434102968593145</v>
      </c>
      <c r="BE13" s="239">
        <f>1/7.2334</f>
        <v>0.1382475737550806</v>
      </c>
      <c r="BF13" s="239">
        <f>1/7.1282</f>
        <v>0.14028787071069837</v>
      </c>
      <c r="BG13" s="239">
        <f>1/6.7729</f>
        <v>0.14764724121129796</v>
      </c>
      <c r="BH13" s="239">
        <f>1/6.701</f>
        <v>0.14923145799134457</v>
      </c>
      <c r="BI13" s="239">
        <f>1/6.8271</f>
        <v>0.14647507726560327</v>
      </c>
      <c r="BJ13" s="239">
        <f>1/6.9871</f>
        <v>0.1431208942193471</v>
      </c>
      <c r="BK13" s="239">
        <f>1/7.6386</f>
        <v>0.13091404184012775</v>
      </c>
      <c r="BL13" s="239">
        <f>1/7.9799</f>
        <v>0.1253148535695936</v>
      </c>
      <c r="BM13" s="239">
        <f>1/7.7933</f>
        <v>0.1283153477987502</v>
      </c>
      <c r="BN13" s="239">
        <f>1/7.6238</f>
        <v>0.13116818384532647</v>
      </c>
      <c r="BO13" s="239">
        <f>1/7.9188</f>
        <v>0.12628175986260545</v>
      </c>
      <c r="BP13" s="239">
        <f>1/7.6393</f>
        <v>0.13090204599897895</v>
      </c>
      <c r="BQ13" s="239">
        <f>1/7.6578</f>
        <v>0.1305858079343937</v>
      </c>
      <c r="BR13" s="239">
        <f>1/8.0472</f>
        <v>0.12426682572820359</v>
      </c>
      <c r="BS13" s="239">
        <f>1/9.6715</f>
        <v>0.10339657757328233</v>
      </c>
      <c r="BT13" s="239">
        <f>1/10.1177</f>
        <v>0.09883669213358769</v>
      </c>
      <c r="BU13" s="234">
        <f>1/9.9456</f>
        <v>0.10054697554697554</v>
      </c>
      <c r="BV13" s="234">
        <f>1/9.897</f>
        <v>0.1010407194099222</v>
      </c>
      <c r="BW13" s="235">
        <f>1/10.006</f>
        <v>0.09994003597841294</v>
      </c>
      <c r="BX13" s="235">
        <f>1/9.9932</f>
        <v>0.1000680462714646</v>
      </c>
      <c r="BY13" s="235">
        <f>1/9.018</f>
        <v>0.11088933244621867</v>
      </c>
      <c r="BZ13" s="235">
        <f>1/8.3723</f>
        <v>0.11944149158534693</v>
      </c>
      <c r="CA13" s="235">
        <v>0.12419583198787848</v>
      </c>
      <c r="CB13" s="235">
        <f>1/7.9513</f>
        <v>0.12576559807830168</v>
      </c>
      <c r="CC13" s="235">
        <f>1/7.9415</f>
        <v>0.12592079581942958</v>
      </c>
      <c r="CD13" s="235">
        <f>1/7.5235</f>
        <v>0.1329168605037549</v>
      </c>
      <c r="CE13" s="235">
        <f>1/7.5235</f>
        <v>0.1329168605037549</v>
      </c>
      <c r="CF13" s="235">
        <f>1/7.5235</f>
        <v>0.1329168605037549</v>
      </c>
      <c r="CG13" s="235">
        <f>1/CG12</f>
        <v>0.13352204448954522</v>
      </c>
      <c r="CH13" s="235">
        <f>1/CH12</f>
        <v>0.13417955908596885</v>
      </c>
      <c r="CI13" s="235">
        <v>0.1289</v>
      </c>
      <c r="CJ13" s="235">
        <v>0.1347</v>
      </c>
      <c r="CK13" s="235">
        <v>0.1362</v>
      </c>
      <c r="CL13" s="235">
        <v>0.13100665513808102</v>
      </c>
      <c r="CM13" s="235">
        <v>0.13076510663894444</v>
      </c>
      <c r="CN13" s="235">
        <v>0.13250649281814808</v>
      </c>
    </row>
    <row r="14" spans="2:92" ht="19.5" customHeight="1" hidden="1">
      <c r="B14" s="205" t="s">
        <v>31</v>
      </c>
      <c r="C14" s="206"/>
      <c r="D14" s="206"/>
      <c r="E14" s="206"/>
      <c r="F14" s="231"/>
      <c r="G14" s="231"/>
      <c r="H14" s="231"/>
      <c r="I14" s="208"/>
      <c r="J14" s="208"/>
      <c r="K14" s="208"/>
      <c r="L14" s="208"/>
      <c r="M14" s="209"/>
      <c r="N14" s="208"/>
      <c r="O14" s="210"/>
      <c r="P14" s="211"/>
      <c r="Q14" s="208"/>
      <c r="R14" s="211"/>
      <c r="S14" s="211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34"/>
      <c r="BV14" s="234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</row>
    <row r="15" spans="2:92" ht="19.5" customHeight="1">
      <c r="B15" s="205" t="s">
        <v>32</v>
      </c>
      <c r="C15" s="236"/>
      <c r="D15" s="236">
        <f>1/12.7437</f>
        <v>0.07847014603294176</v>
      </c>
      <c r="E15" s="236">
        <f>1/12.124</f>
        <v>0.08248102936324644</v>
      </c>
      <c r="F15" s="237">
        <f>1/12.4393</f>
        <v>0.08039037566422548</v>
      </c>
      <c r="G15" s="237">
        <f>1/13.1219</f>
        <v>0.07620847590669035</v>
      </c>
      <c r="H15" s="237">
        <f>1/12.26</f>
        <v>0.08156606851549755</v>
      </c>
      <c r="I15" s="237">
        <f>1/11.7868</f>
        <v>0.08484066922319884</v>
      </c>
      <c r="J15" s="237">
        <f>1/11.702</f>
        <v>0.08545547769612032</v>
      </c>
      <c r="K15" s="237">
        <f>1/11.6744</f>
        <v>0.08565750702391557</v>
      </c>
      <c r="L15" s="237">
        <f>1/11.3692</f>
        <v>0.08795693628399535</v>
      </c>
      <c r="M15" s="237">
        <f>1/11.3073</f>
        <v>0.08843844242215207</v>
      </c>
      <c r="N15" s="237">
        <f>1/12.5935</f>
        <v>0.07940604279985707</v>
      </c>
      <c r="O15" s="238">
        <f>1/12.6411</f>
        <v>0.07910703973546607</v>
      </c>
      <c r="P15" s="237">
        <f>1/12.1204</f>
        <v>0.08250552787036732</v>
      </c>
      <c r="Q15" s="237">
        <f>1/11.8224</f>
        <v>0.08458519420760591</v>
      </c>
      <c r="R15" s="237">
        <f>1/12.1262</f>
        <v>0.08246606521416437</v>
      </c>
      <c r="S15" s="237">
        <f>1/11.7619</f>
        <v>0.08502027733614466</v>
      </c>
      <c r="T15" s="237">
        <f>1/11.2923</f>
        <v>0.08855591863482197</v>
      </c>
      <c r="U15" s="237">
        <f>1/11.7446</f>
        <v>0.08514551368288405</v>
      </c>
      <c r="V15" s="237">
        <f>1/11.736</f>
        <v>0.08520790729379686</v>
      </c>
      <c r="W15" s="237">
        <f>1/11.5461</f>
        <v>0.08660933128935312</v>
      </c>
      <c r="X15" s="237">
        <f>1/11.2483</f>
        <v>0.08890232301770044</v>
      </c>
      <c r="Y15" s="237">
        <f>1/11.601</f>
        <v>0.0861994655633135</v>
      </c>
      <c r="Z15" s="237">
        <f>1/11.2168</f>
        <v>0.08915198630625491</v>
      </c>
      <c r="AA15" s="237">
        <f>1/11.3535</f>
        <v>0.08807856608094419</v>
      </c>
      <c r="AB15" s="237">
        <f>1/11.8847</f>
        <v>0.08414179575420498</v>
      </c>
      <c r="AC15" s="237">
        <f>1/11.6567</f>
        <v>0.08578757281220242</v>
      </c>
      <c r="AD15" s="237">
        <f>1/11.7446</f>
        <v>0.08514551368288405</v>
      </c>
      <c r="AE15" s="237">
        <f>1/12.282</f>
        <v>0.08141996417521576</v>
      </c>
      <c r="AF15" s="237">
        <f>1/11.7407</f>
        <v>0.08517379713304998</v>
      </c>
      <c r="AG15" s="237">
        <f>1/11.5992</f>
        <v>0.0862128422649838</v>
      </c>
      <c r="AH15" s="237">
        <f>1/11.4978</f>
        <v>0.08697316008279846</v>
      </c>
      <c r="AI15" s="237">
        <f>1/11.5989</f>
        <v>0.08621507211890782</v>
      </c>
      <c r="AJ15" s="237">
        <f>1/11.2213</f>
        <v>0.08911623430440324</v>
      </c>
      <c r="AK15" s="237">
        <f>1/11.1059</f>
        <v>0.0900422298057789</v>
      </c>
      <c r="AL15" s="237">
        <f>1/10.7529</f>
        <v>0.09299816793609166</v>
      </c>
      <c r="AM15" s="237">
        <f>1/10.6948</f>
        <v>0.09350338482253057</v>
      </c>
      <c r="AN15" s="237">
        <f>1/10.907</f>
        <v>0.09168423947923351</v>
      </c>
      <c r="AO15" s="237">
        <f>1/10.7206</f>
        <v>0.09327836128574894</v>
      </c>
      <c r="AP15" s="237">
        <f>1/11.806</f>
        <v>0.08470269354565475</v>
      </c>
      <c r="AQ15" s="237">
        <f>1/12.8291</f>
        <v>0.07794779056987629</v>
      </c>
      <c r="AR15" s="237">
        <f>1/13.0643</f>
        <v>0.07654447616787735</v>
      </c>
      <c r="AS15" s="237">
        <f>1/13.1608</f>
        <v>0.07598322290438271</v>
      </c>
      <c r="AT15" s="237">
        <f>1/13.9706</f>
        <v>0.07157888709146351</v>
      </c>
      <c r="AU15" s="237">
        <f>1/14.3415</f>
        <v>0.069727713279643</v>
      </c>
      <c r="AV15" s="237">
        <f>1/13.8728</f>
        <v>0.07208350152817024</v>
      </c>
      <c r="AW15" s="237">
        <f>1/13.8362</f>
        <v>0.07227417932669375</v>
      </c>
      <c r="AX15" s="237">
        <f>1/14.0828</f>
        <v>0.07100860624307666</v>
      </c>
      <c r="AY15" s="237">
        <f>1/14.0398</f>
        <v>0.07122608584167865</v>
      </c>
      <c r="AZ15" s="237">
        <f>1/14.3044</f>
        <v>0.06990855960403793</v>
      </c>
      <c r="BA15" s="237">
        <f>1/14.1669</f>
        <v>0.07058707268350874</v>
      </c>
      <c r="BB15" s="239">
        <f>1/13.9229</f>
        <v>0.07182411710204052</v>
      </c>
      <c r="BC15" s="239">
        <f>1/14.2416</f>
        <v>0.07021682956971127</v>
      </c>
      <c r="BD15" s="239">
        <f>1/14.1833</f>
        <v>0.07050545359683572</v>
      </c>
      <c r="BE15" s="239">
        <f>1/14.525</f>
        <v>0.06884681583476764</v>
      </c>
      <c r="BF15" s="239">
        <f>1/14.3767</f>
        <v>0.06955699152100274</v>
      </c>
      <c r="BG15" s="239">
        <f>1/13.8408</f>
        <v>0.0722501589503497</v>
      </c>
      <c r="BH15" s="239">
        <f>1/13.8896</f>
        <v>0.07199631378873401</v>
      </c>
      <c r="BI15" s="239">
        <f>1/13.8016</f>
        <v>0.07245536749362393</v>
      </c>
      <c r="BJ15" s="239">
        <f>1/13.7527</f>
        <v>0.0727129945392541</v>
      </c>
      <c r="BK15" s="239">
        <f>1/15.0048</f>
        <v>0.06664534015781617</v>
      </c>
      <c r="BL15" s="239">
        <f>1/15.9805</f>
        <v>0.06257626482275273</v>
      </c>
      <c r="BM15" s="239">
        <f>1/15.4224</f>
        <v>0.06484075111526091</v>
      </c>
      <c r="BN15" s="239">
        <f>1/14.97</f>
        <v>0.0668002672010688</v>
      </c>
      <c r="BO15" s="239">
        <f>1/15.5595</f>
        <v>0.06426941739773129</v>
      </c>
      <c r="BP15" s="239">
        <f>1/15.1886</f>
        <v>0.0658388528238284</v>
      </c>
      <c r="BQ15" s="239">
        <f>1/14.4731</f>
        <v>0.06909369796380872</v>
      </c>
      <c r="BR15" s="239">
        <f>1/14.4452</f>
        <v>0.06922714811840612</v>
      </c>
      <c r="BS15" s="239">
        <f>1/16.3843</f>
        <v>0.06103403868337372</v>
      </c>
      <c r="BT15" s="239">
        <f>1/15.5129</f>
        <v>0.06446247961374083</v>
      </c>
      <c r="BU15" s="234">
        <f>1/14.8107</f>
        <v>0.06751875333373844</v>
      </c>
      <c r="BV15" s="234">
        <f>1/14.2861</f>
        <v>0.06999811005102863</v>
      </c>
      <c r="BW15" s="235">
        <f>1/14.4064</f>
        <v>0.06941359395824079</v>
      </c>
      <c r="BX15" s="235">
        <f>1/14.2015</f>
        <v>0.07041509699679611</v>
      </c>
      <c r="BY15" s="235">
        <f>1/13.2668</f>
        <v>0.07537612687309675</v>
      </c>
      <c r="BZ15" s="235">
        <f>1/12.91</f>
        <v>0.07745933384972889</v>
      </c>
      <c r="CA15" s="235">
        <v>0.07586274911430241</v>
      </c>
      <c r="CB15" s="235">
        <f>1/13.0024</f>
        <v>0.07690887836091799</v>
      </c>
      <c r="CC15" s="235">
        <f>1/13.1249</f>
        <v>0.07619105669376529</v>
      </c>
      <c r="CD15" s="235">
        <f>1/12.2854</f>
        <v>0.08139743109707458</v>
      </c>
      <c r="CE15" s="235">
        <f>1/12.2854</f>
        <v>0.08139743109707458</v>
      </c>
      <c r="CF15" s="235">
        <f>1/12.45388</f>
        <v>0.08029626108489885</v>
      </c>
      <c r="CG15" s="235">
        <f>1/12.1653</f>
        <v>0.0822010143605172</v>
      </c>
      <c r="CH15" s="235">
        <f>1/12.0599</f>
        <v>0.08291942719259694</v>
      </c>
      <c r="CI15" s="235">
        <v>0.0834</v>
      </c>
      <c r="CJ15" s="235">
        <v>0.0895</v>
      </c>
      <c r="CK15" s="235">
        <v>0.0888</v>
      </c>
      <c r="CL15" s="235">
        <v>0.0892968763952637</v>
      </c>
      <c r="CM15" s="235">
        <v>0.08870674437377474</v>
      </c>
      <c r="CN15" s="235">
        <v>0.08672124323574303</v>
      </c>
    </row>
    <row r="16" spans="2:92" ht="19.5" customHeight="1">
      <c r="B16" s="205" t="s">
        <v>33</v>
      </c>
      <c r="C16" s="236"/>
      <c r="D16" s="236">
        <f>1/0.0679</f>
        <v>14.727540500736376</v>
      </c>
      <c r="E16" s="236">
        <f>1/0.0642</f>
        <v>15.576323987538942</v>
      </c>
      <c r="F16" s="237">
        <f>1/0.0654</f>
        <v>15.290519877675841</v>
      </c>
      <c r="G16" s="237">
        <f>1/0.0668</f>
        <v>14.970059880239521</v>
      </c>
      <c r="H16" s="237">
        <f>1/0.0636</f>
        <v>15.723270440251572</v>
      </c>
      <c r="I16" s="237">
        <f>1/0.0622</f>
        <v>16.077170418006432</v>
      </c>
      <c r="J16" s="237">
        <f>1/0.0636</f>
        <v>15.723270440251572</v>
      </c>
      <c r="K16" s="237">
        <f>1/0.0636</f>
        <v>15.723270440251572</v>
      </c>
      <c r="L16" s="237">
        <f>1/0.0616</f>
        <v>16.233766233766232</v>
      </c>
      <c r="M16" s="237">
        <f>1/0.0604</f>
        <v>16.556291390728475</v>
      </c>
      <c r="N16" s="237">
        <f>1/0.065</f>
        <v>15.384615384615383</v>
      </c>
      <c r="O16" s="238">
        <f>1/0.0695</f>
        <v>14.388489208633093</v>
      </c>
      <c r="P16" s="237">
        <f>1/0.0611</f>
        <v>16.366612111292962</v>
      </c>
      <c r="Q16" s="237">
        <f>1/0.061</f>
        <v>16.39344262295082</v>
      </c>
      <c r="R16" s="237">
        <f>1/0.0606</f>
        <v>16.5016501650165</v>
      </c>
      <c r="S16" s="237">
        <f>1/0.0588</f>
        <v>17.006802721088437</v>
      </c>
      <c r="T16" s="237">
        <f>1/0.0561</f>
        <v>17.825311942959004</v>
      </c>
      <c r="U16" s="237">
        <f>1/0.0505</f>
        <v>19.801980198019802</v>
      </c>
      <c r="V16" s="237">
        <f>1/0.0595</f>
        <v>16.80672268907563</v>
      </c>
      <c r="W16" s="237">
        <f>1/0.0587</f>
        <v>17.035775127768314</v>
      </c>
      <c r="X16" s="237">
        <f>1/0.0578</f>
        <v>17.301038062283737</v>
      </c>
      <c r="Y16" s="237">
        <f>1/0.052</f>
        <v>19.23076923076923</v>
      </c>
      <c r="Z16" s="237">
        <f>1/0.0578</f>
        <v>17.301038062283737</v>
      </c>
      <c r="AA16" s="237">
        <f>1/0.0574</f>
        <v>17.421602787456447</v>
      </c>
      <c r="AB16" s="237">
        <f>1/0.0572</f>
        <v>17.482517482517483</v>
      </c>
      <c r="AC16" s="237">
        <f>1/0.0572</f>
        <v>17.482517482517483</v>
      </c>
      <c r="AD16" s="237">
        <f>1/0.0594</f>
        <v>16.835016835016834</v>
      </c>
      <c r="AE16" s="237">
        <f>1/0.0621</f>
        <v>16.10305958132045</v>
      </c>
      <c r="AF16" s="237">
        <f>1/0.0599</f>
        <v>16.69449081803005</v>
      </c>
      <c r="AG16" s="237">
        <f>1/0.0585</f>
        <v>17.094017094017094</v>
      </c>
      <c r="AH16" s="237">
        <f>1/0.0573</f>
        <v>17.452006980802793</v>
      </c>
      <c r="AI16" s="237">
        <f>1/0.0573</f>
        <v>17.452006980802793</v>
      </c>
      <c r="AJ16" s="237">
        <f>1/0.0545</f>
        <v>18.34862385321101</v>
      </c>
      <c r="AK16" s="237">
        <f>1/0.0536</f>
        <v>18.65671641791045</v>
      </c>
      <c r="AL16" s="237">
        <f>1/0.0528</f>
        <v>18.93939393939394</v>
      </c>
      <c r="AM16" s="237">
        <f>1/0.0519</f>
        <v>19.267822736030826</v>
      </c>
      <c r="AN16" s="237">
        <f>1/0.0533</f>
        <v>18.76172607879925</v>
      </c>
      <c r="AO16" s="237">
        <f>1/0.0518</f>
        <v>19.305019305019304</v>
      </c>
      <c r="AP16" s="237">
        <f>1/0.0566</f>
        <v>17.6678445229682</v>
      </c>
      <c r="AQ16" s="237">
        <f>1/0.0607</f>
        <v>16.474464579901156</v>
      </c>
      <c r="AR16" s="237">
        <f>1/0.0613</f>
        <v>16.31321370309951</v>
      </c>
      <c r="AS16" s="237">
        <f>1/0.06</f>
        <v>16.666666666666668</v>
      </c>
      <c r="AT16" s="237">
        <f>1/0.0633</f>
        <v>15.797788309636653</v>
      </c>
      <c r="AU16" s="237">
        <f>1/0.0645</f>
        <v>15.503875968992247</v>
      </c>
      <c r="AV16" s="237">
        <f>1/0.0619</f>
        <v>16.155088852988694</v>
      </c>
      <c r="AW16" s="237">
        <f>1/0.0601</f>
        <v>16.638935108153078</v>
      </c>
      <c r="AX16" s="237">
        <f>1/0.0597</f>
        <v>16.75041876046901</v>
      </c>
      <c r="AY16" s="237">
        <f>1/0.0595</f>
        <v>16.80672268907563</v>
      </c>
      <c r="AZ16" s="237">
        <f>1/0.0627</f>
        <v>15.948963317384369</v>
      </c>
      <c r="BA16" s="237">
        <f>1/0.06</f>
        <v>16.666666666666668</v>
      </c>
      <c r="BB16" s="239">
        <f>1/0.0581</f>
        <v>17.21170395869191</v>
      </c>
      <c r="BC16" s="239">
        <f>1/0.0585</f>
        <v>17.094017094017094</v>
      </c>
      <c r="BD16" s="239">
        <f>1/0.0574</f>
        <v>17.421602787456447</v>
      </c>
      <c r="BE16" s="239">
        <f>1/0.062</f>
        <v>16.129032258064516</v>
      </c>
      <c r="BF16" s="239">
        <f>1/0.062</f>
        <v>16.129032258064516</v>
      </c>
      <c r="BG16" s="239">
        <f>1/0.0585</f>
        <v>17.094017094017094</v>
      </c>
      <c r="BH16" s="239">
        <f>1/0.0603</f>
        <v>16.58374792703151</v>
      </c>
      <c r="BI16" s="239">
        <f>1/0.0609</f>
        <v>16.420361247947454</v>
      </c>
      <c r="BJ16" s="239">
        <f>1/0.0647</f>
        <v>15.45595054095827</v>
      </c>
      <c r="BK16" s="239">
        <f>1/0.0713</f>
        <v>14.025245441795231</v>
      </c>
      <c r="BL16" s="239">
        <f>1/0.0791</f>
        <v>12.642225031605562</v>
      </c>
      <c r="BM16" s="239">
        <f>1/0.0761</f>
        <v>13.140604467805518</v>
      </c>
      <c r="BN16" s="239">
        <f>1/0.0732</f>
        <v>13.66120218579235</v>
      </c>
      <c r="BO16" s="239">
        <f>1/0.0742</f>
        <v>13.477088948787062</v>
      </c>
      <c r="BP16" s="239">
        <f>1/0.0716</f>
        <v>13.966480446927374</v>
      </c>
      <c r="BQ16" s="239">
        <f>1/0.0701</f>
        <v>14.265335235378032</v>
      </c>
      <c r="BR16" s="239">
        <f>1/0.0754</f>
        <v>13.262599469496022</v>
      </c>
      <c r="BS16" s="239">
        <f>1/0.0964</f>
        <v>10.37344398340249</v>
      </c>
      <c r="BT16" s="239">
        <f>1/0.1044</f>
        <v>9.578544061302681</v>
      </c>
      <c r="BU16" s="234">
        <f>1/0.1091</f>
        <v>9.165902841429881</v>
      </c>
      <c r="BV16" s="234">
        <f>1/0.1095</f>
        <v>9.132420091324201</v>
      </c>
      <c r="BW16" s="235">
        <f>1/0.1083</f>
        <v>9.233610341643583</v>
      </c>
      <c r="BX16" s="235">
        <f>1/0.1023</f>
        <v>9.775171065493646</v>
      </c>
      <c r="BY16" s="235">
        <f>1/0.0913</f>
        <v>10.952902519167578</v>
      </c>
      <c r="BZ16" s="235">
        <f>1/0.0866</f>
        <v>11.547344110854503</v>
      </c>
      <c r="CA16" s="235">
        <v>11.990407673860911</v>
      </c>
      <c r="CB16" s="235">
        <f>1/0.0841</f>
        <v>11.890606420927469</v>
      </c>
      <c r="CC16" s="235">
        <f>1/0.0838</f>
        <v>11.933174224343675</v>
      </c>
      <c r="CD16" s="235">
        <f>1/0.0823</f>
        <v>12.150668286755772</v>
      </c>
      <c r="CE16" s="235">
        <f>1/0.0823</f>
        <v>12.150668286755772</v>
      </c>
      <c r="CF16" s="235">
        <v>11.8811</v>
      </c>
      <c r="CG16" s="235">
        <v>11.976</v>
      </c>
      <c r="CH16" s="235">
        <v>12.2549</v>
      </c>
      <c r="CI16" s="235">
        <v>11.7786</v>
      </c>
      <c r="CJ16" s="235">
        <v>12.1951</v>
      </c>
      <c r="CK16" s="235">
        <v>12.7065</v>
      </c>
      <c r="CL16" s="235">
        <v>12.077294685990339</v>
      </c>
      <c r="CM16" s="235">
        <v>11.876484560570072</v>
      </c>
      <c r="CN16" s="235">
        <v>11.614401858304298</v>
      </c>
    </row>
    <row r="17" spans="2:92" ht="19.5" customHeight="1" hidden="1">
      <c r="B17" s="205" t="s">
        <v>33</v>
      </c>
      <c r="C17" s="240"/>
      <c r="D17" s="240"/>
      <c r="E17" s="240"/>
      <c r="F17" s="208"/>
      <c r="G17" s="208"/>
      <c r="H17" s="208"/>
      <c r="I17" s="208"/>
      <c r="J17" s="208"/>
      <c r="K17" s="208"/>
      <c r="L17" s="208"/>
      <c r="M17" s="208"/>
      <c r="N17" s="208"/>
      <c r="O17" s="210"/>
      <c r="P17" s="211"/>
      <c r="Q17" s="208"/>
      <c r="R17" s="211"/>
      <c r="S17" s="211"/>
      <c r="T17" s="211"/>
      <c r="U17" s="211"/>
      <c r="V17" s="211"/>
      <c r="W17" s="211"/>
      <c r="X17" s="211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39">
        <f>1/0.0742</f>
        <v>13.477088948787062</v>
      </c>
      <c r="BP17" s="239">
        <f>1/0.0716</f>
        <v>13.966480446927374</v>
      </c>
      <c r="BQ17" s="239">
        <f>1/0.0701</f>
        <v>14.265335235378032</v>
      </c>
      <c r="BR17" s="239">
        <f>1/0.0754</f>
        <v>13.262599469496022</v>
      </c>
      <c r="BS17" s="239">
        <f>1/0.0964</f>
        <v>10.37344398340249</v>
      </c>
      <c r="BT17" s="239">
        <f>1/0.1044</f>
        <v>9.578544061302681</v>
      </c>
      <c r="BU17" s="234">
        <f>1/0.1091</f>
        <v>9.165902841429881</v>
      </c>
      <c r="BV17" s="234">
        <f>1/0.1095</f>
        <v>9.132420091324201</v>
      </c>
      <c r="BW17" s="235">
        <f>1/0.1083</f>
        <v>9.233610341643583</v>
      </c>
      <c r="BX17" s="235">
        <f>1/0.1023</f>
        <v>9.775171065493646</v>
      </c>
      <c r="BY17" s="235">
        <f>1/0.0913</f>
        <v>10.952902519167578</v>
      </c>
      <c r="BZ17" s="235">
        <f>1/0.0866</f>
        <v>11.547344110854503</v>
      </c>
      <c r="CA17" s="235">
        <v>12.9904076738609</v>
      </c>
      <c r="CB17" s="235">
        <f>1/0.0841</f>
        <v>11.890606420927469</v>
      </c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</row>
    <row r="18" spans="2:92" ht="19.5" customHeight="1">
      <c r="B18" s="241" t="s">
        <v>152</v>
      </c>
      <c r="C18" s="242"/>
      <c r="D18" s="242"/>
      <c r="E18" s="243"/>
      <c r="F18" s="244"/>
      <c r="G18" s="244"/>
      <c r="H18" s="244"/>
      <c r="I18" s="245"/>
      <c r="J18" s="245"/>
      <c r="K18" s="244"/>
      <c r="L18" s="244"/>
      <c r="M18" s="246"/>
      <c r="N18" s="245"/>
      <c r="O18" s="246"/>
      <c r="P18" s="247"/>
      <c r="Q18" s="244"/>
      <c r="R18" s="247"/>
      <c r="S18" s="247"/>
      <c r="T18" s="248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88"/>
      <c r="BK18" s="288"/>
      <c r="BL18" s="288"/>
      <c r="BM18" s="288"/>
      <c r="BN18" s="288"/>
      <c r="BO18" s="239"/>
      <c r="BP18" s="239">
        <f>1/12.0494</f>
        <v>0.08299168423323983</v>
      </c>
      <c r="BQ18" s="239">
        <f>1/11.4757</f>
        <v>0.08714065372918428</v>
      </c>
      <c r="BR18" s="239">
        <f>1/11.5514</f>
        <v>0.0865695932960507</v>
      </c>
      <c r="BS18" s="239">
        <f>1/12.9051</f>
        <v>0.07748874475982365</v>
      </c>
      <c r="BT18" s="239">
        <f>1/12.881</f>
        <v>0.07763372408974459</v>
      </c>
      <c r="BU18" s="234">
        <f>1/13.3723</f>
        <v>0.07478145120884216</v>
      </c>
      <c r="BV18" s="234">
        <f>1/13.13</f>
        <v>0.07616146230007616</v>
      </c>
      <c r="BW18" s="235">
        <f>1/12.8058</f>
        <v>0.07808961564291181</v>
      </c>
      <c r="BX18" s="235">
        <f>1/13.0511</f>
        <v>0.07662189393997441</v>
      </c>
      <c r="BY18" s="235">
        <f>1/11.9135</f>
        <v>0.08393838922231082</v>
      </c>
      <c r="BZ18" s="235">
        <f>1/11.4253</f>
        <v>0.08752505404672087</v>
      </c>
      <c r="CA18" s="235">
        <f>1/11.2957</f>
        <v>0.08852926334799968</v>
      </c>
      <c r="CB18" s="235">
        <f>1/11.1974</f>
        <v>0.08930644613928233</v>
      </c>
      <c r="CC18" s="235">
        <f>1/11.3256</f>
        <v>0.08829554284099739</v>
      </c>
      <c r="CD18" s="235">
        <f>1/10.9465</f>
        <v>0.09135340063033846</v>
      </c>
      <c r="CE18" s="235">
        <f>1/10.9465</f>
        <v>0.09135340063033846</v>
      </c>
      <c r="CF18" s="235">
        <f>1/11.19337</f>
        <v>0.08933859954598124</v>
      </c>
      <c r="CG18" s="235">
        <v>0.0914</v>
      </c>
      <c r="CH18" s="235">
        <v>0.0939</v>
      </c>
      <c r="CI18" s="235">
        <v>0.0953</v>
      </c>
      <c r="CJ18" s="235">
        <v>0.0992</v>
      </c>
      <c r="CK18" s="235">
        <v>0.1015</v>
      </c>
      <c r="CL18" s="235">
        <v>0.10414280060819396</v>
      </c>
      <c r="CM18" s="235">
        <v>0.10712028536844022</v>
      </c>
      <c r="CN18" s="235">
        <v>0.10375488944916529</v>
      </c>
    </row>
    <row r="19" spans="2:92" ht="19.5" customHeight="1">
      <c r="B19" s="249" t="s">
        <v>35</v>
      </c>
      <c r="C19" s="242"/>
      <c r="D19" s="242"/>
      <c r="E19" s="250"/>
      <c r="F19" s="244"/>
      <c r="G19" s="244"/>
      <c r="H19" s="244"/>
      <c r="I19" s="247"/>
      <c r="J19" s="247"/>
      <c r="K19" s="244"/>
      <c r="L19" s="244"/>
      <c r="M19" s="251"/>
      <c r="N19" s="247"/>
      <c r="O19" s="246"/>
      <c r="P19" s="247"/>
      <c r="Q19" s="244"/>
      <c r="R19" s="247"/>
      <c r="S19" s="247"/>
      <c r="T19" s="248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</row>
    <row r="20" spans="2:92" ht="19.5" customHeight="1" thickBot="1">
      <c r="B20" s="253" t="s">
        <v>34</v>
      </c>
      <c r="C20" s="254"/>
      <c r="D20" s="254"/>
      <c r="E20" s="255"/>
      <c r="F20" s="256"/>
      <c r="G20" s="256"/>
      <c r="H20" s="256"/>
      <c r="I20" s="257"/>
      <c r="J20" s="257"/>
      <c r="K20" s="256"/>
      <c r="L20" s="256"/>
      <c r="M20" s="258"/>
      <c r="N20" s="257"/>
      <c r="O20" s="259"/>
      <c r="P20" s="257"/>
      <c r="Q20" s="256"/>
      <c r="R20" s="257"/>
      <c r="S20" s="257"/>
      <c r="T20" s="260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</row>
    <row r="21" ht="19.5" customHeight="1">
      <c r="B21" s="187" t="s">
        <v>101</v>
      </c>
    </row>
    <row r="22" spans="75:79" ht="19.5" customHeight="1">
      <c r="BW22" s="192"/>
      <c r="BX22" s="192"/>
      <c r="BY22" s="192"/>
      <c r="BZ22" s="192"/>
      <c r="CA22" s="192"/>
    </row>
  </sheetData>
  <sheetProtection/>
  <mergeCells count="3">
    <mergeCell ref="BJ3:BU3"/>
    <mergeCell ref="BV3:CG3"/>
    <mergeCell ref="CH3:CN3"/>
  </mergeCells>
  <printOptions horizontalCentered="1"/>
  <pageMargins left="0.9448818897637796" right="0.472440944881889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U73"/>
  <sheetViews>
    <sheetView showGridLines="0" tabSelected="1" zoomScale="99" zoomScaleNormal="99" zoomScaleSheetLayoutView="50" workbookViewId="0" topLeftCell="A4">
      <selection activeCell="N44" sqref="N44"/>
    </sheetView>
  </sheetViews>
  <sheetFormatPr defaultColWidth="9.140625" defaultRowHeight="12"/>
  <cols>
    <col min="11" max="11" width="8.7109375" style="0" customWidth="1"/>
  </cols>
  <sheetData>
    <row r="2" spans="1:15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07" t="s">
        <v>164</v>
      </c>
      <c r="B4" s="307"/>
      <c r="C4" s="307"/>
      <c r="D4" s="307"/>
      <c r="E4" s="307"/>
      <c r="F4" s="307"/>
      <c r="G4" s="307"/>
      <c r="H4" s="307"/>
      <c r="I4" s="307"/>
      <c r="J4" s="307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>
      <c r="A32" s="15"/>
      <c r="B32" s="307" t="s">
        <v>178</v>
      </c>
      <c r="C32" s="307" t="s">
        <v>160</v>
      </c>
      <c r="D32" s="307"/>
      <c r="E32" s="307"/>
      <c r="F32" s="307"/>
      <c r="G32" s="307"/>
      <c r="H32" s="307"/>
      <c r="I32" s="307"/>
      <c r="J32" s="307"/>
      <c r="K32" s="307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1:15" ht="12.75"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1:15" ht="12.75"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1:15" ht="12.75">
      <c r="K46" s="15"/>
      <c r="L46" s="15"/>
      <c r="M46" s="15"/>
      <c r="N46" s="15"/>
      <c r="O46" s="15"/>
    </row>
    <row r="47" spans="1:15" ht="12.75">
      <c r="A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L55" s="15"/>
      <c r="M55" s="15"/>
      <c r="N55" s="15"/>
      <c r="O55" s="15"/>
    </row>
    <row r="56" spans="1:21" ht="20.25">
      <c r="A56" s="15"/>
      <c r="B56" s="15"/>
      <c r="C56" s="163"/>
      <c r="H56" s="15"/>
      <c r="I56" s="15"/>
      <c r="J56" s="15"/>
      <c r="K56" s="15"/>
      <c r="L56" s="15"/>
      <c r="M56" s="15"/>
      <c r="N56" s="15"/>
      <c r="O56" s="15"/>
      <c r="U56" t="s">
        <v>117</v>
      </c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1:15" ht="20.25">
      <c r="K61" s="261"/>
      <c r="L61" s="15"/>
      <c r="M61" s="15"/>
      <c r="N61" s="15"/>
      <c r="O61" s="15"/>
    </row>
    <row r="62" spans="1:15" ht="20.25">
      <c r="A62" s="15"/>
      <c r="B62" s="15"/>
      <c r="C62" s="15"/>
      <c r="D62" s="163"/>
      <c r="E62" s="163"/>
      <c r="F62" s="163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</sheetData>
  <sheetProtection/>
  <mergeCells count="3">
    <mergeCell ref="A2:J2"/>
    <mergeCell ref="A4:J4"/>
    <mergeCell ref="B32:K32"/>
  </mergeCells>
  <printOptions horizontalCentered="1" verticalCentered="1"/>
  <pageMargins left="0.7874015748031497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B1">
      <selection activeCell="K85" sqref="K85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117</v>
      </c>
    </row>
    <row r="2" spans="1:11" ht="11.25">
      <c r="A2" s="103"/>
      <c r="B2" s="322" t="s">
        <v>74</v>
      </c>
      <c r="C2" s="323"/>
      <c r="D2" s="323"/>
      <c r="E2" s="323"/>
      <c r="F2" s="323"/>
      <c r="G2" s="323"/>
      <c r="H2" s="323"/>
      <c r="I2" s="323"/>
      <c r="J2" s="323"/>
      <c r="K2" s="324"/>
    </row>
    <row r="3" spans="1:11" ht="11.25">
      <c r="A3" s="103"/>
      <c r="B3" s="325" t="s">
        <v>110</v>
      </c>
      <c r="C3" s="295"/>
      <c r="D3" s="295"/>
      <c r="E3" s="295"/>
      <c r="F3" s="295"/>
      <c r="G3" s="295"/>
      <c r="H3" s="295"/>
      <c r="I3" s="295"/>
      <c r="J3" s="295"/>
      <c r="K3" s="326"/>
    </row>
    <row r="4" spans="1:11" ht="11.25">
      <c r="A4" s="103"/>
      <c r="B4" s="105"/>
      <c r="C4" s="68"/>
      <c r="D4" s="43"/>
      <c r="E4" s="68"/>
      <c r="F4" s="296" t="s">
        <v>106</v>
      </c>
      <c r="G4" s="298"/>
      <c r="H4" s="125" t="s">
        <v>123</v>
      </c>
      <c r="I4" s="296" t="s">
        <v>124</v>
      </c>
      <c r="J4" s="320"/>
      <c r="K4" s="321"/>
    </row>
    <row r="5" spans="1:11" ht="11.25">
      <c r="A5" s="103"/>
      <c r="B5" s="106"/>
      <c r="C5" s="12">
        <v>39995</v>
      </c>
      <c r="D5" s="12">
        <v>40330</v>
      </c>
      <c r="E5" s="12">
        <v>40360</v>
      </c>
      <c r="F5" s="12" t="s">
        <v>153</v>
      </c>
      <c r="G5" s="58" t="s">
        <v>154</v>
      </c>
      <c r="H5" s="58" t="s">
        <v>166</v>
      </c>
      <c r="I5" s="12">
        <v>40299</v>
      </c>
      <c r="J5" s="12">
        <v>40330</v>
      </c>
      <c r="K5" s="12">
        <v>40360</v>
      </c>
    </row>
    <row r="6" spans="1:12" ht="11.25">
      <c r="A6" s="103"/>
      <c r="B6" s="107" t="s">
        <v>52</v>
      </c>
      <c r="C6" s="141">
        <v>14718.517735549998</v>
      </c>
      <c r="D6" s="141">
        <v>12717.364496729999</v>
      </c>
      <c r="E6" s="141">
        <v>12583.079665620002</v>
      </c>
      <c r="F6" s="141">
        <v>-134.28483110999696</v>
      </c>
      <c r="G6" s="141">
        <v>-2135.4380699299963</v>
      </c>
      <c r="H6" s="142">
        <v>-1.0559171371122174</v>
      </c>
      <c r="I6" s="142">
        <v>-6.455899301100587</v>
      </c>
      <c r="J6" s="142">
        <v>-7.970168789443777</v>
      </c>
      <c r="K6" s="171">
        <v>-14.508513073787455</v>
      </c>
      <c r="L6" s="53"/>
    </row>
    <row r="7" spans="1:12" ht="11.25">
      <c r="A7" s="103"/>
      <c r="B7" s="107" t="s">
        <v>137</v>
      </c>
      <c r="C7" s="141">
        <v>14442.549130829999</v>
      </c>
      <c r="D7" s="141">
        <v>12577.940507309999</v>
      </c>
      <c r="E7" s="141">
        <v>12522.329441310001</v>
      </c>
      <c r="F7" s="141">
        <v>-55.61106599999766</v>
      </c>
      <c r="G7" s="141">
        <v>-1920.2196895199977</v>
      </c>
      <c r="H7" s="142">
        <v>-0.44213173029144026</v>
      </c>
      <c r="I7" s="142">
        <v>-7.781930430025219</v>
      </c>
      <c r="J7" s="142">
        <v>-7.864306201885163</v>
      </c>
      <c r="K7" s="171">
        <v>-13.295573185352517</v>
      </c>
      <c r="L7" s="53"/>
    </row>
    <row r="8" spans="1:12" ht="11.25">
      <c r="A8" s="103"/>
      <c r="B8" s="108" t="s">
        <v>53</v>
      </c>
      <c r="C8" s="143">
        <v>14172.017543939999</v>
      </c>
      <c r="D8" s="143">
        <v>10876.70130474</v>
      </c>
      <c r="E8" s="143">
        <v>10831.179644220001</v>
      </c>
      <c r="F8" s="143">
        <v>-45.52166051999848</v>
      </c>
      <c r="G8" s="143">
        <v>-3340.837899719998</v>
      </c>
      <c r="H8" s="144">
        <v>-0.41852450705951094</v>
      </c>
      <c r="I8" s="144">
        <v>-18.175822912828277</v>
      </c>
      <c r="J8" s="144">
        <v>-17.559937091361945</v>
      </c>
      <c r="K8" s="172">
        <v>-23.57348125883849</v>
      </c>
      <c r="L8" s="53"/>
    </row>
    <row r="9" spans="1:12" ht="11.25">
      <c r="A9" s="103"/>
      <c r="B9" s="108" t="s">
        <v>54</v>
      </c>
      <c r="C9" s="143">
        <v>-1.0000000000000002E-08</v>
      </c>
      <c r="D9" s="143">
        <v>1.9999999999999997E-08</v>
      </c>
      <c r="E9" s="143">
        <v>1E-08</v>
      </c>
      <c r="F9" s="143">
        <v>-9.999999999999997E-09</v>
      </c>
      <c r="G9" s="143">
        <v>2E-08</v>
      </c>
      <c r="H9" s="144">
        <v>-49.99999999999999</v>
      </c>
      <c r="I9" s="144">
        <v>12.5</v>
      </c>
      <c r="J9" s="144">
        <v>-75</v>
      </c>
      <c r="K9" s="172">
        <v>-200</v>
      </c>
      <c r="L9" s="53"/>
    </row>
    <row r="10" spans="1:12" ht="11.25">
      <c r="A10" s="103"/>
      <c r="B10" s="108" t="s">
        <v>55</v>
      </c>
      <c r="C10" s="143">
        <v>270.5315869</v>
      </c>
      <c r="D10" s="143">
        <v>1701.2392025500003</v>
      </c>
      <c r="E10" s="143">
        <v>1691.1497970799999</v>
      </c>
      <c r="F10" s="143">
        <v>-10.089405470000429</v>
      </c>
      <c r="G10" s="143">
        <v>1420.61821018</v>
      </c>
      <c r="H10" s="144">
        <v>-0.5930621311146218</v>
      </c>
      <c r="I10" s="144">
        <v>500.79891334917346</v>
      </c>
      <c r="J10" s="144">
        <v>271.3897574841875</v>
      </c>
      <c r="K10" s="172">
        <v>525.1210132091234</v>
      </c>
      <c r="L10" s="53"/>
    </row>
    <row r="11" spans="1:12" ht="11.25">
      <c r="A11" s="103"/>
      <c r="B11" s="107" t="s">
        <v>56</v>
      </c>
      <c r="C11" s="141">
        <v>275.96860472000003</v>
      </c>
      <c r="D11" s="141">
        <v>139.42398942</v>
      </c>
      <c r="E11" s="141">
        <v>60.75022431</v>
      </c>
      <c r="F11" s="141">
        <v>-78.67376511</v>
      </c>
      <c r="G11" s="141">
        <v>-215.21838041000004</v>
      </c>
      <c r="H11" s="142">
        <v>-56.42771049464351</v>
      </c>
      <c r="I11" s="142">
        <v>98.24204437474803</v>
      </c>
      <c r="J11" s="142">
        <v>-16.613521920433904</v>
      </c>
      <c r="K11" s="171">
        <v>-77.98654511021728</v>
      </c>
      <c r="L11" s="53"/>
    </row>
    <row r="12" spans="1:12" ht="11.25">
      <c r="A12" s="103"/>
      <c r="B12" s="108" t="s">
        <v>96</v>
      </c>
      <c r="C12" s="143">
        <v>254.26596186</v>
      </c>
      <c r="D12" s="143">
        <v>117.42504494999999</v>
      </c>
      <c r="E12" s="143">
        <v>38.76098889</v>
      </c>
      <c r="F12" s="143">
        <v>-78.66405605999998</v>
      </c>
      <c r="G12" s="143">
        <v>-215.50497297</v>
      </c>
      <c r="H12" s="144">
        <v>-66.9908673175262</v>
      </c>
      <c r="I12" s="144">
        <v>112.51476576988577</v>
      </c>
      <c r="J12" s="144">
        <v>-19.132993021577903</v>
      </c>
      <c r="K12" s="172">
        <v>-84.75573033588272</v>
      </c>
      <c r="L12" s="53"/>
    </row>
    <row r="13" spans="1:12" ht="11.25">
      <c r="A13" s="103"/>
      <c r="B13" s="108" t="s">
        <v>75</v>
      </c>
      <c r="C13" s="143">
        <v>0.03722773</v>
      </c>
      <c r="D13" s="143">
        <v>0.03722773</v>
      </c>
      <c r="E13" s="143">
        <v>0.03722773</v>
      </c>
      <c r="F13" s="143">
        <v>0</v>
      </c>
      <c r="G13" s="143">
        <v>0</v>
      </c>
      <c r="H13" s="144">
        <v>0</v>
      </c>
      <c r="I13" s="144">
        <v>-42.17889628539962</v>
      </c>
      <c r="J13" s="144">
        <v>-33.484956237130525</v>
      </c>
      <c r="K13" s="172">
        <v>-39.649230044945185</v>
      </c>
      <c r="L13" s="53"/>
    </row>
    <row r="14" spans="1:12" ht="11.25">
      <c r="A14" s="103"/>
      <c r="B14" s="108" t="s">
        <v>57</v>
      </c>
      <c r="C14" s="143">
        <v>21.66541513</v>
      </c>
      <c r="D14" s="143">
        <v>21.961716740000004</v>
      </c>
      <c r="E14" s="143">
        <v>21.952007690000002</v>
      </c>
      <c r="F14" s="143">
        <v>-0.00970905000000144</v>
      </c>
      <c r="G14" s="143">
        <v>0.28659256000000255</v>
      </c>
      <c r="H14" s="144">
        <v>-0.044208975623102574</v>
      </c>
      <c r="I14" s="144">
        <v>0</v>
      </c>
      <c r="J14" s="144">
        <v>0</v>
      </c>
      <c r="K14" s="172">
        <v>0</v>
      </c>
      <c r="L14" s="53"/>
    </row>
    <row r="15" spans="1:12" ht="11.25">
      <c r="A15" s="103"/>
      <c r="B15" s="109"/>
      <c r="C15" s="141"/>
      <c r="D15" s="141"/>
      <c r="E15" s="141"/>
      <c r="F15" s="141"/>
      <c r="G15" s="141"/>
      <c r="H15" s="142"/>
      <c r="I15" s="142"/>
      <c r="J15" s="142"/>
      <c r="K15" s="171"/>
      <c r="L15" s="53"/>
    </row>
    <row r="16" spans="1:12" ht="11.25">
      <c r="A16" s="103"/>
      <c r="B16" s="107" t="s">
        <v>58</v>
      </c>
      <c r="C16" s="141">
        <v>14718.531763129997</v>
      </c>
      <c r="D16" s="141">
        <v>12717.396594940003</v>
      </c>
      <c r="E16" s="141">
        <v>12583.086848250003</v>
      </c>
      <c r="F16" s="141">
        <v>-134.30974668999988</v>
      </c>
      <c r="G16" s="141">
        <v>-2135.444914879994</v>
      </c>
      <c r="H16" s="142">
        <v>-1.0561103893185106</v>
      </c>
      <c r="I16" s="142">
        <v>-6.456305118089556</v>
      </c>
      <c r="J16" s="142">
        <v>-7.969930825100969</v>
      </c>
      <c r="K16" s="171">
        <v>-14.508545752024638</v>
      </c>
      <c r="L16" s="53"/>
    </row>
    <row r="17" spans="1:12" ht="11.25">
      <c r="A17" s="103"/>
      <c r="B17" s="107" t="s">
        <v>59</v>
      </c>
      <c r="C17" s="141">
        <v>3522.747693549998</v>
      </c>
      <c r="D17" s="141">
        <v>4459.758766590003</v>
      </c>
      <c r="E17" s="141">
        <v>4333.848363969999</v>
      </c>
      <c r="F17" s="141">
        <v>-125.91040262000388</v>
      </c>
      <c r="G17" s="141">
        <v>811.1006704200008</v>
      </c>
      <c r="H17" s="142">
        <v>-2.823255902611899</v>
      </c>
      <c r="I17" s="144">
        <v>62.4393617171068</v>
      </c>
      <c r="J17" s="144">
        <v>25.67870826284071</v>
      </c>
      <c r="K17" s="171">
        <v>23.024659753665922</v>
      </c>
      <c r="L17" s="53"/>
    </row>
    <row r="18" spans="1:12" ht="11.25">
      <c r="A18" s="103"/>
      <c r="B18" s="108" t="s">
        <v>60</v>
      </c>
      <c r="C18" s="143">
        <v>1505.7585164000002</v>
      </c>
      <c r="D18" s="143">
        <v>1652.2980501</v>
      </c>
      <c r="E18" s="143">
        <v>1668.759476</v>
      </c>
      <c r="F18" s="143">
        <v>16.461425899999995</v>
      </c>
      <c r="G18" s="143">
        <v>163.00095959999976</v>
      </c>
      <c r="H18" s="144">
        <v>0.9962746066911912</v>
      </c>
      <c r="I18" s="144">
        <v>7.205927522202793</v>
      </c>
      <c r="J18" s="144">
        <v>9.508068193121112</v>
      </c>
      <c r="K18" s="172">
        <v>10.825172683711992</v>
      </c>
      <c r="L18" s="53"/>
    </row>
    <row r="19" spans="1:12" ht="11.25">
      <c r="A19" s="103"/>
      <c r="B19" s="108" t="s">
        <v>61</v>
      </c>
      <c r="C19" s="143">
        <v>2016.9891771499977</v>
      </c>
      <c r="D19" s="143">
        <v>2807.4607164900026</v>
      </c>
      <c r="E19" s="143">
        <v>2665.0888879699987</v>
      </c>
      <c r="F19" s="143">
        <v>-142.37182852000387</v>
      </c>
      <c r="G19" s="143">
        <v>648.0997108200011</v>
      </c>
      <c r="H19" s="144">
        <v>-5.071195749374642</v>
      </c>
      <c r="I19" s="144">
        <v>107.92906771808619</v>
      </c>
      <c r="J19" s="144">
        <v>37.640674952761465</v>
      </c>
      <c r="K19" s="172">
        <v>32.132037105710445</v>
      </c>
      <c r="L19" s="53"/>
    </row>
    <row r="20" spans="1:12" ht="11.25">
      <c r="A20" s="103"/>
      <c r="B20" s="107" t="s">
        <v>97</v>
      </c>
      <c r="C20" s="141">
        <v>11263.79546188</v>
      </c>
      <c r="D20" s="141">
        <v>8449.84828816</v>
      </c>
      <c r="E20" s="141">
        <v>8402.704493750003</v>
      </c>
      <c r="F20" s="141">
        <v>-47.14379440999619</v>
      </c>
      <c r="G20" s="141">
        <v>-2861.0909681299963</v>
      </c>
      <c r="H20" s="142">
        <v>-0.557924743762021</v>
      </c>
      <c r="I20" s="142">
        <v>-26.871988470364172</v>
      </c>
      <c r="J20" s="142">
        <v>-17.922910022525894</v>
      </c>
      <c r="K20" s="171">
        <v>-25.40077168315752</v>
      </c>
      <c r="L20" s="53"/>
    </row>
    <row r="21" spans="1:12" ht="11.25">
      <c r="A21" s="103"/>
      <c r="B21" s="108" t="s">
        <v>138</v>
      </c>
      <c r="C21" s="143">
        <v>9285.57375862</v>
      </c>
      <c r="D21" s="143">
        <v>5562.569377829999</v>
      </c>
      <c r="E21" s="143">
        <v>5603.930018580002</v>
      </c>
      <c r="F21" s="143">
        <v>41.36064075000286</v>
      </c>
      <c r="G21" s="143">
        <v>-3681.6437400399973</v>
      </c>
      <c r="H21" s="144">
        <v>0.7435528069968623</v>
      </c>
      <c r="I21" s="144">
        <v>-42.178719923407414</v>
      </c>
      <c r="J21" s="144">
        <v>-33.4848071769287</v>
      </c>
      <c r="K21" s="172">
        <v>-39.649071083219255</v>
      </c>
      <c r="L21" s="53"/>
    </row>
    <row r="22" spans="1:12" ht="11.25">
      <c r="A22" s="103"/>
      <c r="B22" s="110" t="s">
        <v>62</v>
      </c>
      <c r="C22" s="143">
        <v>1978.2217032600001</v>
      </c>
      <c r="D22" s="143">
        <v>2887.27891033</v>
      </c>
      <c r="E22" s="143">
        <v>2798.77447517</v>
      </c>
      <c r="F22" s="143">
        <v>-88.50443515999996</v>
      </c>
      <c r="G22" s="143">
        <v>820.55277191</v>
      </c>
      <c r="H22" s="144">
        <v>-3.065323368773001</v>
      </c>
      <c r="I22" s="144">
        <v>40.22611830463951</v>
      </c>
      <c r="J22" s="144">
        <v>49.43277289374708</v>
      </c>
      <c r="K22" s="172">
        <v>41.47931298892205</v>
      </c>
      <c r="L22" s="53"/>
    </row>
    <row r="23" spans="1:12" ht="11.25">
      <c r="A23" s="103"/>
      <c r="B23" s="111" t="s">
        <v>0</v>
      </c>
      <c r="C23" s="143">
        <v>6.02554159</v>
      </c>
      <c r="D23" s="143">
        <v>3.68307418</v>
      </c>
      <c r="E23" s="143">
        <v>3.14618263</v>
      </c>
      <c r="F23" s="143">
        <v>-0.53689155</v>
      </c>
      <c r="G23" s="143">
        <v>-2.8793589599999994</v>
      </c>
      <c r="H23" s="144">
        <v>-14.577266809217509</v>
      </c>
      <c r="I23" s="144">
        <v>-13.836893677831563</v>
      </c>
      <c r="J23" s="144">
        <v>-81.91746464508033</v>
      </c>
      <c r="K23" s="172">
        <v>-47.78589471158226</v>
      </c>
      <c r="L23" s="53"/>
    </row>
    <row r="24" spans="1:12" ht="11.25">
      <c r="A24" s="103"/>
      <c r="B24" s="111" t="s">
        <v>98</v>
      </c>
      <c r="C24" s="143">
        <v>79.94672645000001</v>
      </c>
      <c r="D24" s="143">
        <v>38.83138389999997</v>
      </c>
      <c r="E24" s="143">
        <v>75.82576639000004</v>
      </c>
      <c r="F24" s="143">
        <v>36.99438249000007</v>
      </c>
      <c r="G24" s="143">
        <v>-4.120960059999973</v>
      </c>
      <c r="H24" s="144">
        <v>95.26928678429125</v>
      </c>
      <c r="I24" s="144">
        <v>-24.163891192499708</v>
      </c>
      <c r="J24" s="144">
        <v>-64.5890442116884</v>
      </c>
      <c r="K24" s="172">
        <v>-5.154632644749113</v>
      </c>
      <c r="L24" s="53"/>
    </row>
    <row r="25" spans="1:12" ht="12" thickBot="1">
      <c r="A25" s="103"/>
      <c r="B25" s="112" t="s">
        <v>91</v>
      </c>
      <c r="C25" s="173">
        <v>-153.98366034000003</v>
      </c>
      <c r="D25" s="173">
        <v>-234.72491789000009</v>
      </c>
      <c r="E25" s="173">
        <v>-232.43795849000009</v>
      </c>
      <c r="F25" s="173">
        <v>2.2869594000000006</v>
      </c>
      <c r="G25" s="173">
        <v>-78.45429815000006</v>
      </c>
      <c r="H25" s="174">
        <v>-0.9743147087058504</v>
      </c>
      <c r="I25" s="174">
        <v>58.21258595860779</v>
      </c>
      <c r="J25" s="174">
        <v>51.591134336722774</v>
      </c>
      <c r="K25" s="175">
        <v>50.9497553031087</v>
      </c>
      <c r="L25" s="53"/>
    </row>
    <row r="26" spans="2:12" ht="12" customHeight="1" hidden="1">
      <c r="B26" s="57" t="s">
        <v>73</v>
      </c>
      <c r="C26" s="145">
        <v>0.0008534900025551906</v>
      </c>
      <c r="D26" s="145">
        <v>0.007110160009688116</v>
      </c>
      <c r="E26" s="145">
        <v>-0.032098210003823624</v>
      </c>
      <c r="F26" s="145">
        <v>-0.03920837001351174</v>
      </c>
      <c r="G26" s="145">
        <v>-0.032951700006378815</v>
      </c>
      <c r="H26" s="145">
        <v>-0.0002901595832316417</v>
      </c>
      <c r="I26" s="145">
        <v>0.0003277435099864334</v>
      </c>
      <c r="J26" s="145">
        <v>0.0004058169889695762</v>
      </c>
      <c r="K26" s="146">
        <v>-0.00023796434280853873</v>
      </c>
      <c r="L26" s="53">
        <f>(E26-C26)/C26*100</f>
        <v>-3860.8185107883564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3"/>
      <c r="B30" s="322" t="s">
        <v>74</v>
      </c>
      <c r="C30" s="323"/>
      <c r="D30" s="323"/>
      <c r="E30" s="323"/>
      <c r="F30" s="323"/>
      <c r="G30" s="323"/>
      <c r="H30" s="323"/>
      <c r="I30" s="323"/>
      <c r="J30" s="323"/>
      <c r="K30" s="324"/>
      <c r="L30" s="103"/>
    </row>
    <row r="31" spans="1:12" ht="11.25">
      <c r="A31" s="103"/>
      <c r="B31" s="325" t="s">
        <v>111</v>
      </c>
      <c r="C31" s="295"/>
      <c r="D31" s="295"/>
      <c r="E31" s="295"/>
      <c r="F31" s="295"/>
      <c r="G31" s="295"/>
      <c r="H31" s="295"/>
      <c r="I31" s="295"/>
      <c r="J31" s="295"/>
      <c r="K31" s="326"/>
      <c r="L31" s="103"/>
    </row>
    <row r="32" spans="1:12" ht="11.25">
      <c r="A32" s="103"/>
      <c r="B32" s="105"/>
      <c r="C32" s="68"/>
      <c r="D32" s="43"/>
      <c r="E32" s="68"/>
      <c r="F32" s="296" t="s">
        <v>106</v>
      </c>
      <c r="G32" s="298"/>
      <c r="H32" s="125" t="s">
        <v>123</v>
      </c>
      <c r="I32" s="296" t="s">
        <v>124</v>
      </c>
      <c r="J32" s="320"/>
      <c r="K32" s="321"/>
      <c r="L32" s="103"/>
    </row>
    <row r="33" spans="1:12" ht="11.25">
      <c r="A33" s="103"/>
      <c r="B33" s="106"/>
      <c r="C33" s="12">
        <f>C5</f>
        <v>39995</v>
      </c>
      <c r="D33" s="67">
        <f>D5</f>
        <v>40330</v>
      </c>
      <c r="E33" s="12">
        <f>E5</f>
        <v>40360</v>
      </c>
      <c r="F33" s="12" t="s">
        <v>108</v>
      </c>
      <c r="G33" s="58" t="s">
        <v>107</v>
      </c>
      <c r="H33" s="58" t="s">
        <v>125</v>
      </c>
      <c r="I33" s="12">
        <f>I5</f>
        <v>40299</v>
      </c>
      <c r="J33" s="12">
        <f>J5</f>
        <v>40330</v>
      </c>
      <c r="K33" s="170">
        <f>K5</f>
        <v>40360</v>
      </c>
      <c r="L33" s="103"/>
    </row>
    <row r="34" spans="1:12" ht="11.25">
      <c r="A34" s="103"/>
      <c r="B34" s="113" t="s">
        <v>52</v>
      </c>
      <c r="C34" s="154">
        <v>47570.005502354295</v>
      </c>
      <c r="D34" s="154">
        <v>50990.53625659279</v>
      </c>
      <c r="E34" s="154">
        <v>52502.64070401998</v>
      </c>
      <c r="F34" s="154">
        <v>1512.104447427184</v>
      </c>
      <c r="G34" s="154">
        <v>4932.635201665682</v>
      </c>
      <c r="H34" s="155">
        <v>2.9654609628304844</v>
      </c>
      <c r="I34" s="155">
        <v>15.231400314264087</v>
      </c>
      <c r="J34" s="155">
        <v>7.6649477272870525</v>
      </c>
      <c r="K34" s="176">
        <v>10.376288325043115</v>
      </c>
      <c r="L34" s="103"/>
    </row>
    <row r="35" spans="1:13" ht="11.25">
      <c r="A35" s="103"/>
      <c r="B35" s="113" t="s">
        <v>137</v>
      </c>
      <c r="C35" s="154">
        <v>2430.7135511953416</v>
      </c>
      <c r="D35" s="154">
        <v>2320.1551559600002</v>
      </c>
      <c r="E35" s="154">
        <v>3620.2599233899996</v>
      </c>
      <c r="F35" s="154">
        <v>1300.1047674299994</v>
      </c>
      <c r="G35" s="154">
        <v>1189.546372194658</v>
      </c>
      <c r="H35" s="155">
        <v>56.03525109475107</v>
      </c>
      <c r="I35" s="155">
        <v>57.9294542785227</v>
      </c>
      <c r="J35" s="155">
        <v>-5.880892279839978</v>
      </c>
      <c r="K35" s="176">
        <v>48.93815528405969</v>
      </c>
      <c r="L35" s="103"/>
      <c r="M35" s="194"/>
    </row>
    <row r="36" spans="1:12" ht="11.25">
      <c r="A36" s="103"/>
      <c r="B36" s="114" t="s">
        <v>63</v>
      </c>
      <c r="C36" s="156">
        <v>191.86469177190267</v>
      </c>
      <c r="D36" s="156">
        <v>137.45372763</v>
      </c>
      <c r="E36" s="156">
        <v>119.48674225</v>
      </c>
      <c r="F36" s="156">
        <v>-17.966985379999997</v>
      </c>
      <c r="G36" s="156">
        <v>-72.37794952190266</v>
      </c>
      <c r="H36" s="157">
        <v>-13.071297293852806</v>
      </c>
      <c r="I36" s="157">
        <v>-88.31849108624466</v>
      </c>
      <c r="J36" s="157">
        <v>-22.284142532432792</v>
      </c>
      <c r="K36" s="177">
        <v>-37.72343355803517</v>
      </c>
      <c r="L36" s="103"/>
    </row>
    <row r="37" spans="1:12" ht="11.25">
      <c r="A37" s="103"/>
      <c r="B37" s="114" t="s">
        <v>53</v>
      </c>
      <c r="C37" s="156">
        <v>2072.3997148469703</v>
      </c>
      <c r="D37" s="156">
        <v>1907.46342833</v>
      </c>
      <c r="E37" s="156">
        <v>3226.4681811399996</v>
      </c>
      <c r="F37" s="156">
        <v>1319.0047528099997</v>
      </c>
      <c r="G37" s="156">
        <v>1154.0684662930294</v>
      </c>
      <c r="H37" s="157">
        <v>69.14967454787845</v>
      </c>
      <c r="I37" s="157">
        <v>79.45141935826146</v>
      </c>
      <c r="J37" s="157">
        <v>-9.745370743768799</v>
      </c>
      <c r="K37" s="177">
        <v>55.687542225812734</v>
      </c>
      <c r="L37" s="103"/>
    </row>
    <row r="38" spans="1:12" ht="11.25">
      <c r="A38" s="103"/>
      <c r="B38" s="114" t="s">
        <v>64</v>
      </c>
      <c r="C38" s="156">
        <v>93.121</v>
      </c>
      <c r="D38" s="156">
        <v>112.19899999999998</v>
      </c>
      <c r="E38" s="156">
        <v>110.372</v>
      </c>
      <c r="F38" s="156">
        <v>-1.826999999999984</v>
      </c>
      <c r="G38" s="156">
        <v>17.251000000000005</v>
      </c>
      <c r="H38" s="157">
        <v>-1.6283567589728825</v>
      </c>
      <c r="I38" s="157">
        <v>25.13388777717371</v>
      </c>
      <c r="J38" s="157">
        <v>10.445131314722222</v>
      </c>
      <c r="K38" s="177">
        <v>18.525359478527935</v>
      </c>
      <c r="L38" s="103"/>
    </row>
    <row r="39" spans="1:12" ht="11.25">
      <c r="A39" s="103"/>
      <c r="B39" s="114" t="s">
        <v>65</v>
      </c>
      <c r="C39" s="156">
        <v>73.32814457646886</v>
      </c>
      <c r="D39" s="156">
        <v>163.03900000000002</v>
      </c>
      <c r="E39" s="156">
        <v>163.933</v>
      </c>
      <c r="F39" s="156">
        <v>0.893999999999977</v>
      </c>
      <c r="G39" s="156">
        <v>90.60485542353113</v>
      </c>
      <c r="H39" s="157">
        <v>0.5483350609363262</v>
      </c>
      <c r="I39" s="157">
        <v>-46.36976961468464</v>
      </c>
      <c r="J39" s="157">
        <v>122.58768816341777</v>
      </c>
      <c r="K39" s="177">
        <v>123.56081821904765</v>
      </c>
      <c r="L39" s="103"/>
    </row>
    <row r="40" spans="1:14" ht="11.25">
      <c r="A40" s="103"/>
      <c r="B40" s="113" t="s">
        <v>56</v>
      </c>
      <c r="C40" s="154">
        <v>42773.20775457355</v>
      </c>
      <c r="D40" s="154">
        <v>46269.81420996833</v>
      </c>
      <c r="E40" s="154">
        <v>46638.107026063444</v>
      </c>
      <c r="F40" s="154">
        <v>368.29281609511236</v>
      </c>
      <c r="G40" s="154">
        <v>3864.8992714898923</v>
      </c>
      <c r="H40" s="155">
        <v>0.7959677867385248</v>
      </c>
      <c r="I40" s="155">
        <v>11.364030554466908</v>
      </c>
      <c r="J40" s="155">
        <v>9.128802046057348</v>
      </c>
      <c r="K40" s="176">
        <v>9.035794775239037</v>
      </c>
      <c r="L40" s="196"/>
      <c r="M40" s="196"/>
      <c r="N40" s="196"/>
    </row>
    <row r="41" spans="1:12" ht="11.25">
      <c r="A41" s="103"/>
      <c r="B41" s="114" t="s">
        <v>76</v>
      </c>
      <c r="C41" s="156">
        <v>2348.5502713790725</v>
      </c>
      <c r="D41" s="156">
        <v>2932.38815511</v>
      </c>
      <c r="E41" s="156">
        <v>2756.98452291</v>
      </c>
      <c r="F41" s="156">
        <v>-175.40363219999972</v>
      </c>
      <c r="G41" s="156">
        <v>408.43425153092767</v>
      </c>
      <c r="H41" s="157">
        <v>-5.9815966687200035</v>
      </c>
      <c r="I41" s="157">
        <v>69.98476134777789</v>
      </c>
      <c r="J41" s="157">
        <v>22.26329072426685</v>
      </c>
      <c r="K41" s="177">
        <v>17.390909469061278</v>
      </c>
      <c r="L41" s="103"/>
    </row>
    <row r="42" spans="1:12" ht="11.25">
      <c r="A42" s="103"/>
      <c r="B42" s="114" t="s">
        <v>75</v>
      </c>
      <c r="C42" s="156">
        <v>2289.40113263</v>
      </c>
      <c r="D42" s="156">
        <v>2283.7777246737014</v>
      </c>
      <c r="E42" s="156">
        <v>2300.991890673701</v>
      </c>
      <c r="F42" s="156">
        <v>17.21416599999975</v>
      </c>
      <c r="G42" s="156">
        <v>11.590758043701044</v>
      </c>
      <c r="H42" s="157">
        <v>0.7537583808625358</v>
      </c>
      <c r="I42" s="157">
        <v>34.8466346319418</v>
      </c>
      <c r="J42" s="157">
        <v>4.329816751618765</v>
      </c>
      <c r="K42" s="177">
        <v>0.5062790385879534</v>
      </c>
      <c r="L42" s="103"/>
    </row>
    <row r="43" spans="1:12" ht="11.25">
      <c r="A43" s="103"/>
      <c r="B43" s="114" t="s">
        <v>46</v>
      </c>
      <c r="C43" s="156">
        <v>2966.7304429214764</v>
      </c>
      <c r="D43" s="156">
        <v>2848.4180999800005</v>
      </c>
      <c r="E43" s="156">
        <v>2826.08042139</v>
      </c>
      <c r="F43" s="156">
        <v>-22.33767859000045</v>
      </c>
      <c r="G43" s="156">
        <v>-140.65002153147634</v>
      </c>
      <c r="H43" s="157">
        <v>-0.7842134758993874</v>
      </c>
      <c r="I43" s="157">
        <v>-0.7249013767914203</v>
      </c>
      <c r="J43" s="157">
        <v>-2.12801271375177</v>
      </c>
      <c r="K43" s="177">
        <v>-4.7409100434811275</v>
      </c>
      <c r="L43" s="103"/>
    </row>
    <row r="44" spans="1:12" ht="12">
      <c r="A44" s="103"/>
      <c r="B44" s="114" t="s">
        <v>77</v>
      </c>
      <c r="C44" s="156">
        <v>82.51245173000001</v>
      </c>
      <c r="D44" s="156">
        <v>92.80558161</v>
      </c>
      <c r="E44" s="156">
        <v>27.1168246</v>
      </c>
      <c r="F44" s="156">
        <v>-65.68875701</v>
      </c>
      <c r="G44" s="156">
        <v>-55.39562713000001</v>
      </c>
      <c r="H44" s="157">
        <v>-70.78104125896874</v>
      </c>
      <c r="I44" s="157">
        <v>-30.892036097611154</v>
      </c>
      <c r="J44" s="157">
        <v>-0.3960809992006653</v>
      </c>
      <c r="K44" s="177">
        <v>-67.13608185012781</v>
      </c>
      <c r="L44" s="290"/>
    </row>
    <row r="45" spans="1:12" ht="11.25">
      <c r="A45" s="103"/>
      <c r="B45" s="114" t="s">
        <v>133</v>
      </c>
      <c r="C45" s="156">
        <v>663.70561146</v>
      </c>
      <c r="D45" s="156">
        <v>449.55680738999996</v>
      </c>
      <c r="E45" s="156">
        <v>434.40053144999996</v>
      </c>
      <c r="F45" s="156">
        <v>-15.15627594</v>
      </c>
      <c r="G45" s="156">
        <v>-229.30508001000004</v>
      </c>
      <c r="H45" s="157">
        <v>-3.371381701011951</v>
      </c>
      <c r="I45" s="157">
        <v>-45.80463233971922</v>
      </c>
      <c r="J45" s="157">
        <v>-31.34746508724807</v>
      </c>
      <c r="K45" s="177">
        <v>-34.54921520183949</v>
      </c>
      <c r="L45" s="103"/>
    </row>
    <row r="46" spans="1:12" ht="11.25">
      <c r="A46" s="103"/>
      <c r="B46" s="114" t="s">
        <v>139</v>
      </c>
      <c r="C46" s="156">
        <v>12006.5000277</v>
      </c>
      <c r="D46" s="156">
        <v>13563.05180933462</v>
      </c>
      <c r="E46" s="156">
        <v>14163.65204484974</v>
      </c>
      <c r="F46" s="156">
        <v>600.6002355151195</v>
      </c>
      <c r="G46" s="156">
        <v>2157.1520171497395</v>
      </c>
      <c r="H46" s="157">
        <v>4.428208665410856</v>
      </c>
      <c r="I46" s="157">
        <v>11.932957344354378</v>
      </c>
      <c r="J46" s="157">
        <v>16.16987983085827</v>
      </c>
      <c r="K46" s="177">
        <v>17.966534895040276</v>
      </c>
      <c r="L46" s="103"/>
    </row>
    <row r="47" spans="1:12" ht="11.25">
      <c r="A47" s="103"/>
      <c r="B47" s="114" t="s">
        <v>47</v>
      </c>
      <c r="C47" s="156">
        <v>22415.807816753</v>
      </c>
      <c r="D47" s="156">
        <v>24099.816031870007</v>
      </c>
      <c r="E47" s="156">
        <v>24128.88079019</v>
      </c>
      <c r="F47" s="156">
        <v>29.064758319993416</v>
      </c>
      <c r="G47" s="156">
        <v>1713.0729734369997</v>
      </c>
      <c r="H47" s="157">
        <v>0.12060157754547872</v>
      </c>
      <c r="I47" s="157">
        <v>6.402079364191482</v>
      </c>
      <c r="J47" s="157">
        <v>7.213659141783202</v>
      </c>
      <c r="K47" s="177">
        <v>7.642254017527272</v>
      </c>
      <c r="L47" s="103"/>
    </row>
    <row r="48" spans="1:12" ht="11.25">
      <c r="A48" s="103"/>
      <c r="B48" s="115" t="s">
        <v>140</v>
      </c>
      <c r="C48" s="154">
        <v>2366.0841965854024</v>
      </c>
      <c r="D48" s="154">
        <v>2400.5668906644673</v>
      </c>
      <c r="E48" s="154">
        <v>2244.27375456654</v>
      </c>
      <c r="F48" s="154">
        <v>-156.29313609792734</v>
      </c>
      <c r="G48" s="154">
        <v>-121.81044201886243</v>
      </c>
      <c r="H48" s="155">
        <v>-6.510676153442491</v>
      </c>
      <c r="I48" s="155">
        <v>37.31873694958941</v>
      </c>
      <c r="J48" s="155">
        <v>-3.8341118897990523</v>
      </c>
      <c r="K48" s="176">
        <v>-5.040961512370556</v>
      </c>
      <c r="L48" s="103"/>
    </row>
    <row r="49" spans="1:12" ht="11.25">
      <c r="A49" s="103"/>
      <c r="B49" s="116"/>
      <c r="C49" s="154"/>
      <c r="D49" s="154"/>
      <c r="E49" s="154"/>
      <c r="F49" s="154"/>
      <c r="G49" s="156"/>
      <c r="H49" s="157"/>
      <c r="I49" s="157"/>
      <c r="J49" s="157"/>
      <c r="K49" s="177"/>
      <c r="L49" s="103"/>
    </row>
    <row r="50" spans="1:12" ht="11.25">
      <c r="A50" s="103"/>
      <c r="B50" s="113" t="s">
        <v>58</v>
      </c>
      <c r="C50" s="154">
        <v>47570.014127103765</v>
      </c>
      <c r="D50" s="154">
        <v>50990.54329851236</v>
      </c>
      <c r="E50" s="154">
        <v>52502.64822070141</v>
      </c>
      <c r="F50" s="154">
        <v>1512.1049221890498</v>
      </c>
      <c r="G50" s="154">
        <v>4932.634093597648</v>
      </c>
      <c r="H50" s="155">
        <v>2.9654614843712896</v>
      </c>
      <c r="I50" s="155">
        <v>15.224944495753</v>
      </c>
      <c r="J50" s="155">
        <v>7.658159097676376</v>
      </c>
      <c r="K50" s="176">
        <v>10.369208805399953</v>
      </c>
      <c r="L50" s="103"/>
    </row>
    <row r="51" spans="1:12" ht="11.25">
      <c r="A51" s="103"/>
      <c r="B51" s="117" t="s">
        <v>66</v>
      </c>
      <c r="C51" s="154">
        <v>899.0160788962182</v>
      </c>
      <c r="D51" s="154">
        <v>714.84672833</v>
      </c>
      <c r="E51" s="154">
        <v>974.6061996512358</v>
      </c>
      <c r="F51" s="154">
        <v>259.75947132123576</v>
      </c>
      <c r="G51" s="154">
        <v>75.59012075501755</v>
      </c>
      <c r="H51" s="155">
        <v>36.33778557370987</v>
      </c>
      <c r="I51" s="155">
        <v>-29.93122327413508</v>
      </c>
      <c r="J51" s="155">
        <v>-34.646626388867716</v>
      </c>
      <c r="K51" s="176">
        <v>8.408094418936818</v>
      </c>
      <c r="L51" s="103"/>
    </row>
    <row r="52" spans="1:12" ht="11.25">
      <c r="A52" s="103"/>
      <c r="B52" s="114" t="s">
        <v>53</v>
      </c>
      <c r="C52" s="156">
        <v>299.42463692</v>
      </c>
      <c r="D52" s="156">
        <v>614.24672833</v>
      </c>
      <c r="E52" s="156">
        <v>799.4484510447585</v>
      </c>
      <c r="F52" s="156">
        <v>185.2017227147585</v>
      </c>
      <c r="G52" s="156">
        <v>500.0238141247585</v>
      </c>
      <c r="H52" s="157">
        <v>30.151031201790968</v>
      </c>
      <c r="I52" s="157">
        <v>94.88281113706576</v>
      </c>
      <c r="J52" s="157">
        <v>102.37087615251741</v>
      </c>
      <c r="K52" s="177">
        <v>166.99488033723634</v>
      </c>
      <c r="L52" s="103"/>
    </row>
    <row r="53" spans="1:12" ht="11.25">
      <c r="A53" s="103"/>
      <c r="B53" s="114" t="s">
        <v>141</v>
      </c>
      <c r="C53" s="156">
        <v>572.1633827300001</v>
      </c>
      <c r="D53" s="156">
        <v>100.6</v>
      </c>
      <c r="E53" s="156">
        <v>100.6</v>
      </c>
      <c r="F53" s="156">
        <v>0</v>
      </c>
      <c r="G53" s="156">
        <v>-471.56338273000006</v>
      </c>
      <c r="H53" s="157">
        <v>0</v>
      </c>
      <c r="I53" s="157">
        <v>-82.50773243688015</v>
      </c>
      <c r="J53" s="157">
        <v>-82.32941297117652</v>
      </c>
      <c r="K53" s="177">
        <v>-82.41760954362358</v>
      </c>
      <c r="L53" s="103"/>
    </row>
    <row r="54" spans="1:12" ht="11.25">
      <c r="A54" s="103"/>
      <c r="B54" s="114" t="s">
        <v>64</v>
      </c>
      <c r="C54" s="156">
        <v>27.428059246218115</v>
      </c>
      <c r="D54" s="156">
        <v>0</v>
      </c>
      <c r="E54" s="156">
        <v>74.55774860647726</v>
      </c>
      <c r="F54" s="156">
        <v>74.55774860647726</v>
      </c>
      <c r="G54" s="156">
        <v>47.12968936025915</v>
      </c>
      <c r="H54" s="157">
        <v>0</v>
      </c>
      <c r="I54" s="157">
        <v>-89.14881833343951</v>
      </c>
      <c r="J54" s="157">
        <v>-100</v>
      </c>
      <c r="K54" s="177">
        <v>171.8302010987437</v>
      </c>
      <c r="L54" s="103"/>
    </row>
    <row r="55" spans="1:12" ht="11.25">
      <c r="A55" s="103"/>
      <c r="B55" s="114" t="s">
        <v>67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7">
        <v>0</v>
      </c>
      <c r="I55" s="157">
        <v>0</v>
      </c>
      <c r="J55" s="157">
        <v>0</v>
      </c>
      <c r="K55" s="177">
        <v>0</v>
      </c>
      <c r="L55" s="103"/>
    </row>
    <row r="56" spans="1:12" ht="11.25">
      <c r="A56" s="103"/>
      <c r="B56" s="113" t="s">
        <v>68</v>
      </c>
      <c r="C56" s="154">
        <v>46670.99804820755</v>
      </c>
      <c r="D56" s="154">
        <v>50275.696570182365</v>
      </c>
      <c r="E56" s="154">
        <v>51528.042021050176</v>
      </c>
      <c r="F56" s="154">
        <v>1252.3454508678115</v>
      </c>
      <c r="G56" s="154">
        <v>4857.043972842628</v>
      </c>
      <c r="H56" s="155">
        <v>2.4909559415444393</v>
      </c>
      <c r="I56" s="155">
        <v>16.330994297580514</v>
      </c>
      <c r="J56" s="155">
        <v>8.65824896111067</v>
      </c>
      <c r="K56" s="176">
        <v>10.406985442706151</v>
      </c>
      <c r="L56" s="103"/>
    </row>
    <row r="57" spans="1:12" ht="11.25">
      <c r="A57" s="103"/>
      <c r="B57" s="114" t="s">
        <v>69</v>
      </c>
      <c r="C57" s="156">
        <v>29195.086880022896</v>
      </c>
      <c r="D57" s="156">
        <v>30390.007464625203</v>
      </c>
      <c r="E57" s="156">
        <v>30909.875712235207</v>
      </c>
      <c r="F57" s="156">
        <v>519.8682476100039</v>
      </c>
      <c r="G57" s="156">
        <v>1714.7888322123108</v>
      </c>
      <c r="H57" s="157">
        <v>1.7106552152550298</v>
      </c>
      <c r="I57" s="157">
        <v>15.057383709515616</v>
      </c>
      <c r="J57" s="157">
        <v>4.364399941131469</v>
      </c>
      <c r="K57" s="177">
        <v>5.873552763378398</v>
      </c>
      <c r="L57" s="103"/>
    </row>
    <row r="58" spans="1:12" ht="11.25">
      <c r="A58" s="103"/>
      <c r="B58" s="118" t="s">
        <v>70</v>
      </c>
      <c r="C58" s="156">
        <v>19003.904957662897</v>
      </c>
      <c r="D58" s="156">
        <v>19925.218824595206</v>
      </c>
      <c r="E58" s="156">
        <v>20326.909301245207</v>
      </c>
      <c r="F58" s="156">
        <v>401.6904766500011</v>
      </c>
      <c r="G58" s="156">
        <v>1323.00434358231</v>
      </c>
      <c r="H58" s="157">
        <v>2.0159902894223882</v>
      </c>
      <c r="I58" s="157">
        <v>20.037396964678123</v>
      </c>
      <c r="J58" s="157">
        <v>4.670205204134015</v>
      </c>
      <c r="K58" s="177">
        <v>6.961749948390672</v>
      </c>
      <c r="L58" s="103"/>
    </row>
    <row r="59" spans="1:12" ht="11.25">
      <c r="A59" s="103"/>
      <c r="B59" s="118" t="s">
        <v>67</v>
      </c>
      <c r="C59" s="156">
        <v>10191.18192236</v>
      </c>
      <c r="D59" s="156">
        <v>10464.78864003</v>
      </c>
      <c r="E59" s="156">
        <v>10582.96641099</v>
      </c>
      <c r="F59" s="156">
        <v>118.177770960001</v>
      </c>
      <c r="G59" s="156">
        <v>391.78448863000085</v>
      </c>
      <c r="H59" s="157">
        <v>1.1292896113347801</v>
      </c>
      <c r="I59" s="157">
        <v>5.925579062232433</v>
      </c>
      <c r="J59" s="157">
        <v>3.7870519032434657</v>
      </c>
      <c r="K59" s="177">
        <v>3.844347904048351</v>
      </c>
      <c r="L59" s="103"/>
    </row>
    <row r="60" spans="1:12" ht="11.25">
      <c r="A60" s="103"/>
      <c r="B60" s="114" t="s">
        <v>142</v>
      </c>
      <c r="C60" s="156">
        <v>917.01472429</v>
      </c>
      <c r="D60" s="156">
        <v>295.90832728</v>
      </c>
      <c r="E60" s="156">
        <v>284.30324582000003</v>
      </c>
      <c r="F60" s="156">
        <v>-11.605081459999951</v>
      </c>
      <c r="G60" s="156">
        <v>-632.71147847</v>
      </c>
      <c r="H60" s="157">
        <v>-3.921850245538636</v>
      </c>
      <c r="I60" s="157">
        <v>-72.397584750722</v>
      </c>
      <c r="J60" s="157">
        <v>-71.87045932078026</v>
      </c>
      <c r="K60" s="177">
        <v>-68.99687231956693</v>
      </c>
      <c r="L60" s="103"/>
    </row>
    <row r="61" spans="1:12" ht="11.25">
      <c r="A61" s="103"/>
      <c r="B61" s="114" t="s">
        <v>115</v>
      </c>
      <c r="C61" s="156">
        <v>3.93907692556274</v>
      </c>
      <c r="D61" s="156">
        <v>3.9324</v>
      </c>
      <c r="E61" s="156">
        <v>3.938</v>
      </c>
      <c r="F61" s="156">
        <v>0.005600000000000271</v>
      </c>
      <c r="G61" s="156">
        <v>-0.001076925562739639</v>
      </c>
      <c r="H61" s="157">
        <v>0.1424066727698167</v>
      </c>
      <c r="I61" s="157">
        <v>-0.1449862646190958</v>
      </c>
      <c r="J61" s="157">
        <v>-0.1695048278800959</v>
      </c>
      <c r="K61" s="177">
        <v>-0.027339541295856584</v>
      </c>
      <c r="L61" s="103"/>
    </row>
    <row r="62" spans="1:12" ht="11.25">
      <c r="A62" s="103"/>
      <c r="B62" s="114" t="s">
        <v>116</v>
      </c>
      <c r="C62" s="156">
        <v>6951.089056383973</v>
      </c>
      <c r="D62" s="156">
        <v>10369.473138542193</v>
      </c>
      <c r="E62" s="156">
        <v>11224.254389704058</v>
      </c>
      <c r="F62" s="156">
        <v>854.7812511618649</v>
      </c>
      <c r="G62" s="156">
        <v>4273.165333320085</v>
      </c>
      <c r="H62" s="157">
        <v>8.243246689021614</v>
      </c>
      <c r="I62" s="157">
        <v>41.79046957797474</v>
      </c>
      <c r="J62" s="157">
        <v>48.55991703918308</v>
      </c>
      <c r="K62" s="177">
        <v>61.474760266458574</v>
      </c>
      <c r="L62" s="103"/>
    </row>
    <row r="63" spans="1:12" ht="11.25">
      <c r="A63" s="103"/>
      <c r="B63" s="114" t="s">
        <v>92</v>
      </c>
      <c r="C63" s="156">
        <v>900.8492719800396</v>
      </c>
      <c r="D63" s="156">
        <v>1352.39499212</v>
      </c>
      <c r="E63" s="156">
        <v>1253.76730485</v>
      </c>
      <c r="F63" s="156">
        <v>-98.62768727000002</v>
      </c>
      <c r="G63" s="156">
        <v>352.9180328699605</v>
      </c>
      <c r="H63" s="157">
        <v>-7.292816658200746</v>
      </c>
      <c r="I63" s="157">
        <v>90.26552140279006</v>
      </c>
      <c r="J63" s="157">
        <v>106.38694613177044</v>
      </c>
      <c r="K63" s="177">
        <v>39.17614675918617</v>
      </c>
      <c r="L63" s="103"/>
    </row>
    <row r="64" spans="1:12" ht="11.25">
      <c r="A64" s="103"/>
      <c r="B64" s="114" t="s">
        <v>93</v>
      </c>
      <c r="C64" s="156">
        <v>250.81334279</v>
      </c>
      <c r="D64" s="156">
        <v>35.45525985</v>
      </c>
      <c r="E64" s="156">
        <v>36.178860369999995</v>
      </c>
      <c r="F64" s="156">
        <v>0.723600519999998</v>
      </c>
      <c r="G64" s="156">
        <v>-214.63448242</v>
      </c>
      <c r="H64" s="157">
        <v>2.0408834205737683</v>
      </c>
      <c r="I64" s="157">
        <v>116.32682043000932</v>
      </c>
      <c r="J64" s="157">
        <v>-74.98272319737877</v>
      </c>
      <c r="K64" s="177">
        <v>-85.57538448012644</v>
      </c>
      <c r="L64" s="103"/>
    </row>
    <row r="65" spans="1:12" ht="11.25">
      <c r="A65" s="103"/>
      <c r="B65" s="114" t="s">
        <v>64</v>
      </c>
      <c r="C65" s="156">
        <v>6.7096031</v>
      </c>
      <c r="D65" s="156">
        <v>4.923</v>
      </c>
      <c r="E65" s="156">
        <v>4.923</v>
      </c>
      <c r="F65" s="156">
        <v>0</v>
      </c>
      <c r="G65" s="156">
        <v>-1.7866030999999998</v>
      </c>
      <c r="H65" s="157">
        <v>0</v>
      </c>
      <c r="I65" s="157">
        <v>-70.80420500505844</v>
      </c>
      <c r="J65" s="157">
        <v>-70.80420500505844</v>
      </c>
      <c r="K65" s="177">
        <v>-26.62755267893565</v>
      </c>
      <c r="L65" s="103"/>
    </row>
    <row r="66" spans="1:12" ht="11.25">
      <c r="A66" s="103"/>
      <c r="B66" s="114" t="s">
        <v>143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7">
        <v>0</v>
      </c>
      <c r="I66" s="157">
        <v>0</v>
      </c>
      <c r="J66" s="157">
        <v>0</v>
      </c>
      <c r="K66" s="177">
        <v>0</v>
      </c>
      <c r="L66" s="103"/>
    </row>
    <row r="67" spans="1:12" ht="11.25">
      <c r="A67" s="103"/>
      <c r="B67" s="114" t="s">
        <v>144</v>
      </c>
      <c r="C67" s="156">
        <v>6173.615795634102</v>
      </c>
      <c r="D67" s="156">
        <v>6745.639529864856</v>
      </c>
      <c r="E67" s="156">
        <v>6829.927084125833</v>
      </c>
      <c r="F67" s="156">
        <v>84.28755426097723</v>
      </c>
      <c r="G67" s="156">
        <v>656.3112884917309</v>
      </c>
      <c r="H67" s="157">
        <v>1.2495116865912026</v>
      </c>
      <c r="I67" s="157">
        <v>8.986314989085598</v>
      </c>
      <c r="J67" s="157">
        <v>8.836948138231659</v>
      </c>
      <c r="K67" s="177">
        <v>10.63090594260605</v>
      </c>
      <c r="L67" s="103"/>
    </row>
    <row r="68" spans="1:12" ht="11.25">
      <c r="A68" s="103"/>
      <c r="B68" s="114" t="s">
        <v>94</v>
      </c>
      <c r="C68" s="156">
        <v>2378.212569055082</v>
      </c>
      <c r="D68" s="156">
        <v>2155.423603150793</v>
      </c>
      <c r="E68" s="156">
        <v>2187.3067928950827</v>
      </c>
      <c r="F68" s="156">
        <v>31.883189744289666</v>
      </c>
      <c r="G68" s="156">
        <v>-190.90577615999928</v>
      </c>
      <c r="H68" s="157">
        <v>1.4792075997350542</v>
      </c>
      <c r="I68" s="157">
        <v>30.579314730811724</v>
      </c>
      <c r="J68" s="157">
        <v>3.6370680284590673</v>
      </c>
      <c r="K68" s="177">
        <v>-8.027279758085315</v>
      </c>
      <c r="L68" s="103"/>
    </row>
    <row r="69" spans="1:12" ht="11.25" customHeight="1" hidden="1">
      <c r="A69" s="103"/>
      <c r="B69" s="114" t="s">
        <v>95</v>
      </c>
      <c r="C69" s="156">
        <v>-106.33227197410974</v>
      </c>
      <c r="D69" s="156">
        <v>-1077.461145250686</v>
      </c>
      <c r="E69" s="156">
        <v>-1206.4323689500002</v>
      </c>
      <c r="F69" s="156">
        <v>-128.97122369931412</v>
      </c>
      <c r="G69" s="156">
        <v>1077.461145250686</v>
      </c>
      <c r="H69" s="157">
        <v>11.96991875463938</v>
      </c>
      <c r="I69" s="157">
        <v>3367.672798735093</v>
      </c>
      <c r="J69" s="157">
        <v>-4788.663634160236</v>
      </c>
      <c r="K69" s="177">
        <v>1034.5872203725203</v>
      </c>
      <c r="L69" s="103"/>
    </row>
    <row r="70" spans="1:12" ht="12" customHeight="1" hidden="1">
      <c r="A70" s="103"/>
      <c r="B70" s="114" t="s">
        <v>95</v>
      </c>
      <c r="C70" s="147"/>
      <c r="D70" s="147"/>
      <c r="E70" s="147"/>
      <c r="F70" s="147"/>
      <c r="G70" s="147"/>
      <c r="H70" s="147"/>
      <c r="I70" s="147"/>
      <c r="J70" s="147"/>
      <c r="K70" s="178"/>
      <c r="L70" s="103"/>
    </row>
    <row r="71" spans="1:12" ht="12" customHeight="1" hidden="1" thickBot="1">
      <c r="A71" s="103"/>
      <c r="B71" s="119"/>
      <c r="C71" s="148">
        <v>0.0004877426035818644</v>
      </c>
      <c r="D71" s="148">
        <v>0.00872413520119153</v>
      </c>
      <c r="E71" s="148">
        <v>0.006783057382563129</v>
      </c>
      <c r="F71" s="148">
        <v>-0.0019410778186284006</v>
      </c>
      <c r="G71" s="148">
        <v>0.006295314778981265</v>
      </c>
      <c r="H71" s="148">
        <v>-3.749035132671885E-06</v>
      </c>
      <c r="I71" s="148">
        <v>-0.006733681829640403</v>
      </c>
      <c r="J71" s="148">
        <v>-0.006641119872364598</v>
      </c>
      <c r="K71" s="179">
        <v>-0.00645581851108723</v>
      </c>
      <c r="L71" s="103"/>
    </row>
    <row r="72" spans="1:12" ht="12" customHeight="1" hidden="1">
      <c r="A72" s="103"/>
      <c r="B72" s="119"/>
      <c r="C72" s="55"/>
      <c r="D72" s="55"/>
      <c r="E72" s="55"/>
      <c r="F72" s="55"/>
      <c r="G72" s="38"/>
      <c r="H72" s="38"/>
      <c r="I72" s="38"/>
      <c r="J72" s="38"/>
      <c r="K72" s="73"/>
      <c r="L72" s="103"/>
    </row>
    <row r="73" spans="1:12" ht="12" customHeight="1" thickBot="1">
      <c r="A73" s="103"/>
      <c r="B73" s="120"/>
      <c r="C73" s="121"/>
      <c r="D73" s="121"/>
      <c r="E73" s="121"/>
      <c r="F73" s="121"/>
      <c r="G73" s="40"/>
      <c r="H73" s="40"/>
      <c r="I73" s="40"/>
      <c r="J73" s="40"/>
      <c r="K73" s="77"/>
      <c r="L73" s="103"/>
    </row>
    <row r="74" ht="11.25">
      <c r="B74" s="54"/>
    </row>
    <row r="75" spans="2:10" ht="11.25">
      <c r="B75" s="52"/>
      <c r="E75" s="190"/>
      <c r="J75" t="s">
        <v>117</v>
      </c>
    </row>
    <row r="76" ht="12" thickBot="1">
      <c r="B76" s="52"/>
    </row>
    <row r="77" spans="2:12" ht="11.25">
      <c r="B77" s="322" t="s">
        <v>74</v>
      </c>
      <c r="C77" s="323"/>
      <c r="D77" s="323"/>
      <c r="E77" s="323"/>
      <c r="F77" s="323"/>
      <c r="G77" s="323"/>
      <c r="H77" s="323"/>
      <c r="I77" s="323"/>
      <c r="J77" s="323"/>
      <c r="K77" s="324"/>
      <c r="L77" s="103"/>
    </row>
    <row r="78" spans="2:12" ht="12" thickBot="1">
      <c r="B78" s="327" t="s">
        <v>112</v>
      </c>
      <c r="C78" s="328"/>
      <c r="D78" s="328"/>
      <c r="E78" s="328"/>
      <c r="F78" s="328"/>
      <c r="G78" s="328"/>
      <c r="H78" s="328"/>
      <c r="I78" s="328"/>
      <c r="J78" s="328"/>
      <c r="K78" s="329"/>
      <c r="L78" s="103"/>
    </row>
    <row r="79" spans="2:12" ht="11.25">
      <c r="B79" s="105"/>
      <c r="C79" s="104"/>
      <c r="D79" s="43"/>
      <c r="E79" s="104"/>
      <c r="F79" s="296" t="s">
        <v>106</v>
      </c>
      <c r="G79" s="298"/>
      <c r="H79" s="124" t="s">
        <v>121</v>
      </c>
      <c r="I79" s="296" t="s">
        <v>124</v>
      </c>
      <c r="J79" s="320"/>
      <c r="K79" s="321"/>
      <c r="L79" s="103"/>
    </row>
    <row r="80" spans="2:11" ht="11.25">
      <c r="B80" s="106"/>
      <c r="C80" s="12">
        <f>C33</f>
        <v>39995</v>
      </c>
      <c r="D80" s="67">
        <f>D33</f>
        <v>40330</v>
      </c>
      <c r="E80" s="12">
        <f>E33</f>
        <v>40360</v>
      </c>
      <c r="F80" s="12" t="s">
        <v>108</v>
      </c>
      <c r="G80" s="58" t="s">
        <v>107</v>
      </c>
      <c r="H80" s="58" t="s">
        <v>125</v>
      </c>
      <c r="I80" s="12">
        <f>I33</f>
        <v>40299</v>
      </c>
      <c r="J80" s="12">
        <f>J33</f>
        <v>40330</v>
      </c>
      <c r="K80" s="170">
        <f>K33</f>
        <v>40360</v>
      </c>
    </row>
    <row r="81" spans="2:14" ht="11.25">
      <c r="B81" s="72" t="s">
        <v>52</v>
      </c>
      <c r="C81" s="158">
        <v>48805.60856773896</v>
      </c>
      <c r="D81" s="158">
        <v>53350.8747271928</v>
      </c>
      <c r="E81" s="158">
        <v>54740.81665010874</v>
      </c>
      <c r="F81" s="158">
        <v>1389.9419229159394</v>
      </c>
      <c r="G81" s="158">
        <v>5935.208082369783</v>
      </c>
      <c r="H81" s="159">
        <v>2.6052842245292926</v>
      </c>
      <c r="I81" s="159">
        <v>16.620654109295717</v>
      </c>
      <c r="J81" s="159">
        <v>9.660744651638531</v>
      </c>
      <c r="K81" s="180">
        <v>12.160913994407242</v>
      </c>
      <c r="L81" s="53"/>
      <c r="M81" s="53"/>
      <c r="N81" s="53"/>
    </row>
    <row r="82" spans="2:14" ht="11.25">
      <c r="B82" s="72" t="s">
        <v>1</v>
      </c>
      <c r="C82" s="158">
        <v>15894.29987667912</v>
      </c>
      <c r="D82" s="158">
        <v>14144.417551039998</v>
      </c>
      <c r="E82" s="158">
        <v>15092.157398658765</v>
      </c>
      <c r="F82" s="158">
        <v>947.7398476187664</v>
      </c>
      <c r="G82" s="158">
        <v>-802.1424780203561</v>
      </c>
      <c r="H82" s="159">
        <v>6.700451568251969</v>
      </c>
      <c r="I82" s="159">
        <v>5.409881095435676</v>
      </c>
      <c r="J82" s="159">
        <v>-5.154977438997765</v>
      </c>
      <c r="K82" s="180">
        <v>-5.04673048982357</v>
      </c>
      <c r="L82" s="53"/>
      <c r="M82" s="53"/>
      <c r="N82" s="53"/>
    </row>
    <row r="83" spans="2:11" ht="11.25">
      <c r="B83" s="72" t="s">
        <v>71</v>
      </c>
      <c r="C83" s="158">
        <v>30265.312095454436</v>
      </c>
      <c r="D83" s="158">
        <v>36447.02762937834</v>
      </c>
      <c r="E83" s="158">
        <v>37047.98141514344</v>
      </c>
      <c r="F83" s="158">
        <v>600.9537857651012</v>
      </c>
      <c r="G83" s="158">
        <v>6782.669319689005</v>
      </c>
      <c r="H83" s="159">
        <v>1.6488416884802393</v>
      </c>
      <c r="I83" s="159">
        <v>21.07190310940281</v>
      </c>
      <c r="J83" s="159">
        <v>17.532799114373844</v>
      </c>
      <c r="K83" s="180">
        <v>22.41070337651565</v>
      </c>
    </row>
    <row r="84" spans="2:11" ht="11.25">
      <c r="B84" s="74" t="s">
        <v>145</v>
      </c>
      <c r="C84" s="160">
        <v>-7896.984670240039</v>
      </c>
      <c r="D84" s="160">
        <v>-4631.149417546298</v>
      </c>
      <c r="E84" s="160">
        <v>-4556.668205026301</v>
      </c>
      <c r="F84" s="160">
        <v>74.48121251999692</v>
      </c>
      <c r="G84" s="160">
        <v>3340.3164652137384</v>
      </c>
      <c r="H84" s="161">
        <v>-1.6082662381353048</v>
      </c>
      <c r="I84" s="161">
        <v>-50.43355166799559</v>
      </c>
      <c r="J84" s="161">
        <v>-32.18498614359569</v>
      </c>
      <c r="K84" s="181">
        <v>-42.298631752468694</v>
      </c>
    </row>
    <row r="85" spans="2:11" ht="11.25">
      <c r="B85" s="74" t="s">
        <v>146</v>
      </c>
      <c r="C85" s="160">
        <v>38162.296765694475</v>
      </c>
      <c r="D85" s="160">
        <v>41078.17704692463</v>
      </c>
      <c r="E85" s="160">
        <v>41604.649620169745</v>
      </c>
      <c r="F85" s="160">
        <v>526.4725732451116</v>
      </c>
      <c r="G85" s="160">
        <v>3442.35285447527</v>
      </c>
      <c r="H85" s="161">
        <v>1.2816356788270054</v>
      </c>
      <c r="I85" s="161">
        <v>6.692480006299517</v>
      </c>
      <c r="J85" s="161">
        <v>8.559896185806238</v>
      </c>
      <c r="K85" s="181">
        <v>9.020297901906504</v>
      </c>
    </row>
    <row r="86" spans="2:11" ht="11.25">
      <c r="B86" s="185" t="s">
        <v>46</v>
      </c>
      <c r="C86" s="160">
        <v>2966.7304429214764</v>
      </c>
      <c r="D86" s="160">
        <v>2848.4180999800005</v>
      </c>
      <c r="E86" s="160">
        <v>2826.08042139</v>
      </c>
      <c r="F86" s="160">
        <v>-22.33767859000045</v>
      </c>
      <c r="G86" s="160">
        <v>-140.65002153147634</v>
      </c>
      <c r="H86" s="161">
        <v>-0.7842134758993874</v>
      </c>
      <c r="I86" s="161">
        <v>-0.7249013767914203</v>
      </c>
      <c r="J86" s="161">
        <v>-2.12801271375177</v>
      </c>
      <c r="K86" s="181">
        <v>-4.7409100434811275</v>
      </c>
    </row>
    <row r="87" spans="2:11" ht="11.25">
      <c r="B87" s="185" t="s">
        <v>131</v>
      </c>
      <c r="C87" s="160">
        <v>82.51245173000001</v>
      </c>
      <c r="D87" s="160">
        <v>92.80558161</v>
      </c>
      <c r="E87" s="160">
        <v>27.1168246</v>
      </c>
      <c r="F87" s="160">
        <v>-65.68875701</v>
      </c>
      <c r="G87" s="160">
        <v>-55.39562713000001</v>
      </c>
      <c r="H87" s="161">
        <v>-70.78104125896874</v>
      </c>
      <c r="I87" s="161">
        <v>-30.892036097611154</v>
      </c>
      <c r="J87" s="161">
        <v>-0.3960809992006653</v>
      </c>
      <c r="K87" s="181">
        <v>-67.13608185012781</v>
      </c>
    </row>
    <row r="88" spans="2:11" ht="11.25">
      <c r="B88" s="185" t="s">
        <v>133</v>
      </c>
      <c r="C88" s="160">
        <v>663.70561146</v>
      </c>
      <c r="D88" s="160">
        <v>449.55680738999996</v>
      </c>
      <c r="E88" s="160">
        <v>434.40053144999996</v>
      </c>
      <c r="F88" s="160">
        <v>-15.15627594</v>
      </c>
      <c r="G88" s="160">
        <v>-229.30508001000004</v>
      </c>
      <c r="H88" s="161">
        <v>-3.371381701011951</v>
      </c>
      <c r="I88" s="161">
        <v>-45.80463233971922</v>
      </c>
      <c r="J88" s="161">
        <v>-31.34746508724807</v>
      </c>
      <c r="K88" s="181">
        <v>-34.54921520183949</v>
      </c>
    </row>
    <row r="89" spans="2:11" ht="11.25">
      <c r="B89" s="185" t="s">
        <v>120</v>
      </c>
      <c r="C89" s="160">
        <v>12006.5000277</v>
      </c>
      <c r="D89" s="160">
        <v>13563.05180933462</v>
      </c>
      <c r="E89" s="160">
        <v>14163.65204484974</v>
      </c>
      <c r="F89" s="160">
        <v>600.6002355151195</v>
      </c>
      <c r="G89" s="160">
        <v>2157.1520171497395</v>
      </c>
      <c r="H89" s="161">
        <v>4.428208665410856</v>
      </c>
      <c r="I89" s="161">
        <v>11.932957344354378</v>
      </c>
      <c r="J89" s="161">
        <v>16.16987983085827</v>
      </c>
      <c r="K89" s="181">
        <v>17.966534895040276</v>
      </c>
    </row>
    <row r="90" spans="2:11" ht="11.25">
      <c r="B90" s="185" t="s">
        <v>47</v>
      </c>
      <c r="C90" s="160">
        <v>22437.473231883</v>
      </c>
      <c r="D90" s="160">
        <v>24121.777748610006</v>
      </c>
      <c r="E90" s="160">
        <v>24150.83279788</v>
      </c>
      <c r="F90" s="160">
        <v>29.055049269994925</v>
      </c>
      <c r="G90" s="160">
        <v>1713.3595659970015</v>
      </c>
      <c r="H90" s="161">
        <v>0.12045152547543554</v>
      </c>
      <c r="I90" s="161">
        <v>6.393929428489042</v>
      </c>
      <c r="J90" s="161">
        <v>7.206639081528743</v>
      </c>
      <c r="K90" s="181">
        <v>7.636152022511911</v>
      </c>
    </row>
    <row r="91" spans="2:11" ht="11.25">
      <c r="B91" s="185" t="s">
        <v>129</v>
      </c>
      <c r="C91" s="160">
        <v>5.375</v>
      </c>
      <c r="D91" s="160">
        <v>2.567</v>
      </c>
      <c r="E91" s="160">
        <v>2.567</v>
      </c>
      <c r="F91" s="160">
        <v>0</v>
      </c>
      <c r="G91" s="160">
        <v>-2.808</v>
      </c>
      <c r="H91" s="161">
        <v>0</v>
      </c>
      <c r="I91" s="161">
        <v>-47.104883577168756</v>
      </c>
      <c r="J91" s="161">
        <v>-52.241860465116275</v>
      </c>
      <c r="K91" s="181">
        <v>-52.241860465116275</v>
      </c>
    </row>
    <row r="92" spans="2:14" ht="11.25">
      <c r="B92" s="71" t="s">
        <v>140</v>
      </c>
      <c r="C92" s="160">
        <v>2645.9965956054025</v>
      </c>
      <c r="D92" s="160">
        <v>2759.4295467744673</v>
      </c>
      <c r="E92" s="160">
        <v>2600.67783630654</v>
      </c>
      <c r="F92" s="160">
        <v>-158.7517104679273</v>
      </c>
      <c r="G92" s="160">
        <v>-45.31875929886246</v>
      </c>
      <c r="H92" s="161">
        <v>-5.753062644904061</v>
      </c>
      <c r="I92" s="161">
        <v>33.794014047999134</v>
      </c>
      <c r="J92" s="161">
        <v>1.168375536539723</v>
      </c>
      <c r="K92" s="181">
        <v>-1.7127293124310938</v>
      </c>
      <c r="L92" s="53"/>
      <c r="M92" s="53"/>
      <c r="N92" s="53"/>
    </row>
    <row r="93" spans="2:11" ht="11.25">
      <c r="B93" s="71"/>
      <c r="C93" s="160"/>
      <c r="D93" s="160"/>
      <c r="E93" s="160"/>
      <c r="F93" s="158"/>
      <c r="G93" s="158"/>
      <c r="H93" s="159"/>
      <c r="I93" s="159"/>
      <c r="J93" s="159"/>
      <c r="K93" s="180"/>
    </row>
    <row r="94" spans="2:14" ht="11.25">
      <c r="B94" s="72" t="s">
        <v>58</v>
      </c>
      <c r="C94" s="158">
        <v>48805.63122007843</v>
      </c>
      <c r="D94" s="158">
        <v>53350.91386729237</v>
      </c>
      <c r="E94" s="158">
        <v>54740.831349430184</v>
      </c>
      <c r="F94" s="158">
        <v>1389.917482137811</v>
      </c>
      <c r="G94" s="158">
        <v>5935.200129351753</v>
      </c>
      <c r="H94" s="159">
        <v>2.605236501843546</v>
      </c>
      <c r="I94" s="159">
        <v>16.62052046160989</v>
      </c>
      <c r="J94" s="159">
        <v>9.660822053277895</v>
      </c>
      <c r="K94" s="180">
        <v>12.160892054829198</v>
      </c>
      <c r="L94" s="53"/>
      <c r="M94" s="53"/>
      <c r="N94" s="53"/>
    </row>
    <row r="95" spans="2:11" ht="11.25">
      <c r="B95" s="72" t="s">
        <v>72</v>
      </c>
      <c r="C95" s="158">
        <v>30519.84266395036</v>
      </c>
      <c r="D95" s="158">
        <v>31658.51771217521</v>
      </c>
      <c r="E95" s="158">
        <v>32273.57639776521</v>
      </c>
      <c r="F95" s="158">
        <v>615.0586855900001</v>
      </c>
      <c r="G95" s="158">
        <v>1753.73373381485</v>
      </c>
      <c r="H95" s="159">
        <v>1.9427905348627907</v>
      </c>
      <c r="I95" s="159">
        <v>14.093587509674999</v>
      </c>
      <c r="J95" s="159">
        <v>4.254460948747996</v>
      </c>
      <c r="K95" s="180">
        <v>5.746208304954137</v>
      </c>
    </row>
    <row r="96" spans="2:11" ht="11.25">
      <c r="B96" s="74" t="s">
        <v>147</v>
      </c>
      <c r="C96" s="160">
        <v>1209.209936981903</v>
      </c>
      <c r="D96" s="160">
        <v>1135.61006398</v>
      </c>
      <c r="E96" s="160">
        <v>1229.87119317</v>
      </c>
      <c r="F96" s="160">
        <v>94.26112919000002</v>
      </c>
      <c r="G96" s="160">
        <v>20.661256188097013</v>
      </c>
      <c r="H96" s="161">
        <v>8.300483782227216</v>
      </c>
      <c r="I96" s="161">
        <v>-8.441790593618691</v>
      </c>
      <c r="J96" s="161">
        <v>0.23439985405513397</v>
      </c>
      <c r="K96" s="181">
        <v>1.7086574924835674</v>
      </c>
    </row>
    <row r="97" spans="2:11" ht="11.25">
      <c r="B97" s="74" t="s">
        <v>148</v>
      </c>
      <c r="C97" s="160">
        <v>19115.511727682893</v>
      </c>
      <c r="D97" s="160">
        <v>20054.186608165208</v>
      </c>
      <c r="E97" s="160">
        <v>20456.80079360521</v>
      </c>
      <c r="F97" s="160">
        <v>402.61418544000117</v>
      </c>
      <c r="G97" s="160">
        <v>1341.2890659223158</v>
      </c>
      <c r="H97" s="161">
        <v>2.0076315898849466</v>
      </c>
      <c r="I97" s="161">
        <v>20.007983528201322</v>
      </c>
      <c r="J97" s="161">
        <v>4.739390874665217</v>
      </c>
      <c r="K97" s="181">
        <v>7.016757306998356</v>
      </c>
    </row>
    <row r="98" spans="2:13" ht="11.25">
      <c r="B98" s="74" t="s">
        <v>149</v>
      </c>
      <c r="C98" s="160">
        <v>10191.18192236</v>
      </c>
      <c r="D98" s="160">
        <v>10464.78864003</v>
      </c>
      <c r="E98" s="160">
        <v>10582.96641099</v>
      </c>
      <c r="F98" s="160">
        <v>118.177770960001</v>
      </c>
      <c r="G98" s="160">
        <v>391.78448863000085</v>
      </c>
      <c r="H98" s="161">
        <v>1.1292896113347801</v>
      </c>
      <c r="I98" s="161">
        <v>5.925579062232433</v>
      </c>
      <c r="J98" s="161">
        <v>3.7870519032434657</v>
      </c>
      <c r="K98" s="181">
        <v>3.844347904048351</v>
      </c>
      <c r="L98" s="53"/>
      <c r="M98" s="53"/>
    </row>
    <row r="99" spans="2:11" ht="11.25">
      <c r="B99" s="74" t="s">
        <v>104</v>
      </c>
      <c r="C99" s="160">
        <v>3.93907692556274</v>
      </c>
      <c r="D99" s="160">
        <v>3.9324</v>
      </c>
      <c r="E99" s="160">
        <v>3.938</v>
      </c>
      <c r="F99" s="160">
        <v>0.005600000000000271</v>
      </c>
      <c r="G99" s="160">
        <v>-0.001076925562739639</v>
      </c>
      <c r="H99" s="161">
        <v>0.1424066727698167</v>
      </c>
      <c r="I99" s="161">
        <v>-0.1449862646190958</v>
      </c>
      <c r="J99" s="161">
        <v>-0.1695048278800959</v>
      </c>
      <c r="K99" s="181">
        <v>-0.027339541295856584</v>
      </c>
    </row>
    <row r="100" spans="2:14" ht="11.25">
      <c r="B100" s="71" t="s">
        <v>150</v>
      </c>
      <c r="C100" s="160">
        <v>18289.727633053633</v>
      </c>
      <c r="D100" s="160">
        <v>21696.32855511716</v>
      </c>
      <c r="E100" s="160">
        <v>22471.192951664976</v>
      </c>
      <c r="F100" s="160">
        <v>774.864396547815</v>
      </c>
      <c r="G100" s="160">
        <v>4181.465318611343</v>
      </c>
      <c r="H100" s="161">
        <v>3.5714079208348832</v>
      </c>
      <c r="I100" s="161">
        <v>20.839582708285253</v>
      </c>
      <c r="J100" s="161">
        <v>18.635680556972332</v>
      </c>
      <c r="K100" s="181">
        <v>22.862370629590444</v>
      </c>
      <c r="N100" s="53"/>
    </row>
    <row r="101" spans="2:11" ht="12" thickBot="1">
      <c r="B101" s="122"/>
      <c r="C101" s="167"/>
      <c r="D101" s="167"/>
      <c r="E101" s="167"/>
      <c r="F101" s="168"/>
      <c r="G101" s="168"/>
      <c r="H101" s="169"/>
      <c r="I101" s="169"/>
      <c r="J101" s="169"/>
      <c r="K101" s="182"/>
    </row>
    <row r="102" spans="2:13" ht="12" customHeight="1" hidden="1" thickBot="1">
      <c r="B102" s="39" t="s">
        <v>73</v>
      </c>
      <c r="C102" s="162">
        <v>-0.05498356260068249</v>
      </c>
      <c r="D102" s="162">
        <v>0.017375904790242203</v>
      </c>
      <c r="E102" s="162">
        <v>0.0003271126333856955</v>
      </c>
      <c r="F102" s="162">
        <v>-0.017048792156856507</v>
      </c>
      <c r="G102" s="162">
        <v>0.055310675234068185</v>
      </c>
      <c r="H102" s="162">
        <v>-3.078014430091258E-05</v>
      </c>
      <c r="I102" s="162">
        <v>8.184313404768773E-05</v>
      </c>
      <c r="J102" s="162">
        <v>9.758946431048798E-05</v>
      </c>
      <c r="K102" s="162">
        <v>0.0001336476858284641</v>
      </c>
      <c r="L102" s="53"/>
      <c r="M102" s="53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2010-09-01T15:52:30Z</cp:lastPrinted>
  <dcterms:created xsi:type="dcterms:W3CDTF">1999-07-02T10:21:54Z</dcterms:created>
  <dcterms:modified xsi:type="dcterms:W3CDTF">2010-09-01T15:52:59Z</dcterms:modified>
  <cp:category/>
  <cp:version/>
  <cp:contentType/>
  <cp:contentStatus/>
</cp:coreProperties>
</file>